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tables/table1.xml" ContentType="application/vnd.openxmlformats-officedocument.spreadsheetml.table+xml"/>
  <Override PartName="/xl/drawings/drawing4.xml" ContentType="application/vnd.openxmlformats-officedocument.drawing+xml"/>
  <Override PartName="/xl/tables/table2.xml" ContentType="application/vnd.openxmlformats-officedocument.spreadsheetml.table+xml"/>
  <Override PartName="/xl/drawings/drawing5.xml" ContentType="application/vnd.openxmlformats-officedocument.drawing+xml"/>
  <Override PartName="/xl/tables/table3.xml" ContentType="application/vnd.openxmlformats-officedocument.spreadsheetml.table+xml"/>
  <Override PartName="/xl/drawings/drawing6.xml" ContentType="application/vnd.openxmlformats-officedocument.drawing+xml"/>
  <Override PartName="/xl/tables/table4.xml" ContentType="application/vnd.openxmlformats-officedocument.spreadsheetml.table+xml"/>
  <Override PartName="/xl/drawings/drawing7.xml" ContentType="application/vnd.openxmlformats-officedocument.drawing+xml"/>
  <Override PartName="/xl/tables/table5.xml" ContentType="application/vnd.openxmlformats-officedocument.spreadsheetml.table+xml"/>
  <Override PartName="/xl/drawings/drawing8.xml" ContentType="application/vnd.openxmlformats-officedocument.drawing+xml"/>
  <Override PartName="/xl/tables/table6.xml" ContentType="application/vnd.openxmlformats-officedocument.spreadsheetml.table+xml"/>
  <Override PartName="/xl/drawings/drawing9.xml" ContentType="application/vnd.openxmlformats-officedocument.drawing+xml"/>
  <Override PartName="/xl/tables/table7.xml" ContentType="application/vnd.openxmlformats-officedocument.spreadsheetml.table+xml"/>
  <Override PartName="/xl/drawings/drawing10.xml" ContentType="application/vnd.openxmlformats-officedocument.drawing+xml"/>
  <Override PartName="/xl/tables/table8.xml" ContentType="application/vnd.openxmlformats-officedocument.spreadsheetml.table+xml"/>
  <Override PartName="/xl/drawings/drawing11.xml" ContentType="application/vnd.openxmlformats-officedocument.drawing+xml"/>
  <Override PartName="/xl/tables/table9.xml" ContentType="application/vnd.openxmlformats-officedocument.spreadsheetml.table+xml"/>
  <Override PartName="/xl/drawings/drawing12.xml" ContentType="application/vnd.openxmlformats-officedocument.drawing+xml"/>
  <Override PartName="/xl/tables/table10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628"/>
  <workbookPr codeName="ThisWorkbook"/>
  <mc:AlternateContent xmlns:mc="http://schemas.openxmlformats.org/markup-compatibility/2006">
    <mc:Choice Requires="x15">
      <x15ac:absPath xmlns:x15ac="http://schemas.microsoft.com/office/spreadsheetml/2010/11/ac" url="https://severnwyeuk-my.sharepoint.com/personal/helencurley_severnwye_org_uk/Documents/"/>
    </mc:Choice>
  </mc:AlternateContent>
  <xr:revisionPtr revIDLastSave="0" documentId="8_{8087B845-69F2-409F-9F13-F0B6B1798CB7}" xr6:coauthVersionLast="47" xr6:coauthVersionMax="47" xr10:uidLastSave="{00000000-0000-0000-0000-000000000000}"/>
  <bookViews>
    <workbookView xWindow="-28920" yWindow="-120" windowWidth="29040" windowHeight="15720" tabRatio="804" activeTab="4" xr2:uid="{2915251F-EFEB-45F7-BB7A-8B1DC61420FD}"/>
  </bookViews>
  <sheets>
    <sheet name="Information &amp; Help" sheetId="22" r:id="rId1"/>
    <sheet name="Print All Summary" sheetId="24" r:id="rId2"/>
    <sheet name="Junior Summary" sheetId="36" r:id="rId3"/>
    <sheet name="Open" sheetId="8" r:id="rId4"/>
    <sheet name="Open Int" sheetId="29" r:id="rId5"/>
    <sheet name="Intermediate" sheetId="28" r:id="rId6"/>
    <sheet name="Novice" sheetId="27" r:id="rId7"/>
    <sheet name="Newcomers" sheetId="30" r:id="rId8"/>
    <sheet name="Inhand" sheetId="31" r:id="rId9"/>
    <sheet name="Starter" sheetId="33" r:id="rId10"/>
    <sheet name="Class 8" sheetId="34" r:id="rId11"/>
    <sheet name="Class 9" sheetId="35" r:id="rId12"/>
    <sheet name="Class 10" sheetId="32" r:id="rId13"/>
    <sheet name="MA calc" sheetId="15" r:id="rId14"/>
  </sheets>
  <definedNames>
    <definedName name="Blank" localSheetId="2">'Junior Summary'!$A$19:$H$19</definedName>
    <definedName name="Blank">'Print All Summary'!$A$19:$G$19</definedName>
    <definedName name="CanterScore">'MA calc'!$C$4:$D$34</definedName>
    <definedName name="Class1" localSheetId="2">'Junior Summary'!$A$9:$H$9</definedName>
    <definedName name="Class1">'Print All Summary'!$A$9:$G$9</definedName>
    <definedName name="Class10" localSheetId="2">'Junior Summary'!$A$18:$H$18</definedName>
    <definedName name="Class10">'Print All Summary'!$A$18:$G$18</definedName>
    <definedName name="Class2" localSheetId="2">'Junior Summary'!$A$10:$H$10</definedName>
    <definedName name="Class2">'Print All Summary'!$A$10:$G$10</definedName>
    <definedName name="Class3" localSheetId="2">'Junior Summary'!$A$11:$H$11</definedName>
    <definedName name="Class3">'Print All Summary'!$A$11:$G$11</definedName>
    <definedName name="Class4" localSheetId="2">'Junior Summary'!$A$12:$H$12</definedName>
    <definedName name="Class4">'Print All Summary'!$A$12:$G$12</definedName>
    <definedName name="Class5" localSheetId="2">'Junior Summary'!$A$13:$H$13</definedName>
    <definedName name="Class5">'Print All Summary'!$A$13:$G$13</definedName>
    <definedName name="Class6" localSheetId="2">'Junior Summary'!$A$14:$H$14</definedName>
    <definedName name="Class6">'Print All Summary'!$A$14:$G$14</definedName>
    <definedName name="Class7" localSheetId="2">'Junior Summary'!$A$15:$H$15</definedName>
    <definedName name="Class7">'Print All Summary'!$A$15:$G$15</definedName>
    <definedName name="Class8" localSheetId="2">'Junior Summary'!$A$16:$H$16</definedName>
    <definedName name="Class8">'Print All Summary'!$A$16:$G$16</definedName>
    <definedName name="Class9" localSheetId="2">'Junior Summary'!$A$17:$H$17</definedName>
    <definedName name="Class9">'Print All Summary'!$A$17:$G$17</definedName>
    <definedName name="Headers" localSheetId="2">'Junior Summary'!$A$8:$H$8</definedName>
    <definedName name="Headers">'Print All Summary'!$A$8:$G$8</definedName>
    <definedName name="MAlength">'Print All Summary'!$F$7</definedName>
    <definedName name="_xlnm.Print_Area" localSheetId="12">'Class 10'!$C$2:$AA$35</definedName>
    <definedName name="_xlnm.Print_Area" localSheetId="10">'Class 8'!$C$2:$AA$35</definedName>
    <definedName name="_xlnm.Print_Area" localSheetId="11">'Class 9'!$C$2:$AA$35</definedName>
    <definedName name="_xlnm.Print_Area" localSheetId="8">Inhand!$C$2:$AA$35</definedName>
    <definedName name="_xlnm.Print_Area" localSheetId="5">Intermediate!$C$2:$AA$35</definedName>
    <definedName name="_xlnm.Print_Area" localSheetId="2">'Junior Summary'!$A:$H</definedName>
    <definedName name="_xlnm.Print_Area" localSheetId="7">Newcomers!$C$2:$AA$35</definedName>
    <definedName name="_xlnm.Print_Area" localSheetId="6">Novice!$C$2:$AA$35</definedName>
    <definedName name="_xlnm.Print_Area" localSheetId="3">Open!$C$2:$AA$33</definedName>
    <definedName name="_xlnm.Print_Area" localSheetId="4">'Open Int'!$C$2:$AA$35</definedName>
    <definedName name="_xlnm.Print_Area" localSheetId="1">'Print All Summary'!$A:$G</definedName>
    <definedName name="_xlnm.Print_Area" localSheetId="9">Starter!$C$2:$AA$35</definedName>
    <definedName name="WalkScore">'MA calc'!$A$4:$B$34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11" i="32" l="1"/>
  <c r="J12" i="32"/>
  <c r="J13" i="32"/>
  <c r="J14" i="32"/>
  <c r="J15" i="32"/>
  <c r="J16" i="32"/>
  <c r="J17" i="32"/>
  <c r="J18" i="32"/>
  <c r="J19" i="32"/>
  <c r="J20" i="32"/>
  <c r="J21" i="32"/>
  <c r="J22" i="32"/>
  <c r="J23" i="32"/>
  <c r="J24" i="32"/>
  <c r="J25" i="32"/>
  <c r="H25" i="32" s="1"/>
  <c r="J26" i="32"/>
  <c r="J27" i="32"/>
  <c r="J28" i="32"/>
  <c r="J29" i="32"/>
  <c r="J30" i="32"/>
  <c r="J31" i="32"/>
  <c r="J32" i="32"/>
  <c r="J33" i="32"/>
  <c r="J34" i="32"/>
  <c r="J35" i="32"/>
  <c r="I24" i="32"/>
  <c r="H24" i="32" s="1"/>
  <c r="I25" i="32"/>
  <c r="I32" i="32"/>
  <c r="H32" i="32" s="1"/>
  <c r="I33" i="32"/>
  <c r="I34" i="32"/>
  <c r="I35" i="32"/>
  <c r="H33" i="32"/>
  <c r="H35" i="32"/>
  <c r="J11" i="35"/>
  <c r="J12" i="35"/>
  <c r="J13" i="35"/>
  <c r="J14" i="35"/>
  <c r="J15" i="35"/>
  <c r="J16" i="35"/>
  <c r="J17" i="35"/>
  <c r="J18" i="35"/>
  <c r="J19" i="35"/>
  <c r="J20" i="35"/>
  <c r="J21" i="35"/>
  <c r="J22" i="35"/>
  <c r="J23" i="35"/>
  <c r="J24" i="35"/>
  <c r="J25" i="35"/>
  <c r="J26" i="35"/>
  <c r="J27" i="35"/>
  <c r="J28" i="35"/>
  <c r="J29" i="35"/>
  <c r="J30" i="35"/>
  <c r="J31" i="35"/>
  <c r="J32" i="35"/>
  <c r="J33" i="35"/>
  <c r="J34" i="35"/>
  <c r="J35" i="35"/>
  <c r="I16" i="35"/>
  <c r="I19" i="35"/>
  <c r="I22" i="35"/>
  <c r="H22" i="35" s="1"/>
  <c r="I24" i="35"/>
  <c r="I32" i="35"/>
  <c r="I35" i="35"/>
  <c r="H35" i="35" s="1"/>
  <c r="H16" i="35"/>
  <c r="H19" i="35"/>
  <c r="J11" i="34"/>
  <c r="J12" i="34"/>
  <c r="J13" i="34"/>
  <c r="J14" i="34"/>
  <c r="J15" i="34"/>
  <c r="J16" i="34"/>
  <c r="J17" i="34"/>
  <c r="J18" i="34"/>
  <c r="J19" i="34"/>
  <c r="J20" i="34"/>
  <c r="J21" i="34"/>
  <c r="J22" i="34"/>
  <c r="J23" i="34"/>
  <c r="J24" i="34"/>
  <c r="J25" i="34"/>
  <c r="J26" i="34"/>
  <c r="J27" i="34"/>
  <c r="J28" i="34"/>
  <c r="J29" i="34"/>
  <c r="J30" i="34"/>
  <c r="J31" i="34"/>
  <c r="J32" i="34"/>
  <c r="J33" i="34"/>
  <c r="J34" i="34"/>
  <c r="J35" i="34"/>
  <c r="I19" i="34"/>
  <c r="I22" i="34"/>
  <c r="I23" i="34"/>
  <c r="I25" i="34"/>
  <c r="H19" i="34"/>
  <c r="J11" i="33"/>
  <c r="J12" i="33"/>
  <c r="J13" i="33"/>
  <c r="J14" i="33"/>
  <c r="J15" i="33"/>
  <c r="J16" i="33"/>
  <c r="J17" i="33"/>
  <c r="J18" i="33"/>
  <c r="J19" i="33"/>
  <c r="J20" i="33"/>
  <c r="J21" i="33"/>
  <c r="J22" i="33"/>
  <c r="J23" i="33"/>
  <c r="J24" i="33"/>
  <c r="J25" i="33"/>
  <c r="H25" i="33" s="1"/>
  <c r="J26" i="33"/>
  <c r="J27" i="33"/>
  <c r="J28" i="33"/>
  <c r="J29" i="33"/>
  <c r="J30" i="33"/>
  <c r="J31" i="33"/>
  <c r="J32" i="33"/>
  <c r="J33" i="33"/>
  <c r="J34" i="33"/>
  <c r="J35" i="33"/>
  <c r="I18" i="33"/>
  <c r="I19" i="33"/>
  <c r="I25" i="33"/>
  <c r="I26" i="33"/>
  <c r="I33" i="33"/>
  <c r="H19" i="33"/>
  <c r="J11" i="31"/>
  <c r="J12" i="31"/>
  <c r="J13" i="31"/>
  <c r="J14" i="31"/>
  <c r="J15" i="31"/>
  <c r="J16" i="31"/>
  <c r="J17" i="31"/>
  <c r="J18" i="31"/>
  <c r="J19" i="31"/>
  <c r="J20" i="31"/>
  <c r="J21" i="31"/>
  <c r="J22" i="31"/>
  <c r="J23" i="31"/>
  <c r="J24" i="31"/>
  <c r="J25" i="31"/>
  <c r="J26" i="31"/>
  <c r="J27" i="31"/>
  <c r="J28" i="31"/>
  <c r="H28" i="31" s="1"/>
  <c r="J29" i="31"/>
  <c r="J30" i="31"/>
  <c r="J31" i="31"/>
  <c r="J32" i="31"/>
  <c r="J33" i="31"/>
  <c r="J34" i="31"/>
  <c r="J35" i="31"/>
  <c r="I20" i="31"/>
  <c r="I28" i="31"/>
  <c r="I35" i="31"/>
  <c r="H20" i="31"/>
  <c r="J11" i="30"/>
  <c r="J12" i="30"/>
  <c r="J13" i="30"/>
  <c r="J14" i="30"/>
  <c r="J15" i="30"/>
  <c r="J16" i="30"/>
  <c r="J17" i="30"/>
  <c r="J18" i="30"/>
  <c r="J19" i="30"/>
  <c r="J20" i="30"/>
  <c r="J21" i="30"/>
  <c r="J22" i="30"/>
  <c r="H22" i="30" s="1"/>
  <c r="J23" i="30"/>
  <c r="J24" i="30"/>
  <c r="J25" i="30"/>
  <c r="J26" i="30"/>
  <c r="J27" i="30"/>
  <c r="H27" i="30" s="1"/>
  <c r="J28" i="30"/>
  <c r="J29" i="30"/>
  <c r="J30" i="30"/>
  <c r="H30" i="30" s="1"/>
  <c r="J31" i="30"/>
  <c r="J32" i="30"/>
  <c r="J33" i="30"/>
  <c r="J34" i="30"/>
  <c r="J35" i="30"/>
  <c r="I19" i="30"/>
  <c r="I29" i="30"/>
  <c r="I33" i="30"/>
  <c r="H19" i="30"/>
  <c r="I23" i="27"/>
  <c r="I24" i="27"/>
  <c r="I31" i="27"/>
  <c r="J12" i="27"/>
  <c r="J13" i="27"/>
  <c r="J14" i="27"/>
  <c r="J15" i="27"/>
  <c r="J16" i="27"/>
  <c r="J17" i="27"/>
  <c r="J18" i="27"/>
  <c r="J19" i="27"/>
  <c r="J20" i="27"/>
  <c r="J21" i="27"/>
  <c r="J22" i="27"/>
  <c r="J23" i="27"/>
  <c r="H23" i="27" s="1"/>
  <c r="J24" i="27"/>
  <c r="H24" i="27" s="1"/>
  <c r="J25" i="27"/>
  <c r="H25" i="27" s="1"/>
  <c r="J26" i="27"/>
  <c r="H26" i="27" s="1"/>
  <c r="J27" i="27"/>
  <c r="J28" i="27"/>
  <c r="J29" i="27"/>
  <c r="J30" i="27"/>
  <c r="J31" i="27"/>
  <c r="J32" i="27"/>
  <c r="J33" i="27"/>
  <c r="H33" i="27" s="1"/>
  <c r="J34" i="27"/>
  <c r="H34" i="27" s="1"/>
  <c r="J35" i="27"/>
  <c r="J11" i="27"/>
  <c r="H17" i="28"/>
  <c r="I16" i="28"/>
  <c r="I17" i="28"/>
  <c r="I30" i="28"/>
  <c r="I31" i="28"/>
  <c r="I32" i="28"/>
  <c r="J12" i="28"/>
  <c r="J13" i="28"/>
  <c r="J14" i="28"/>
  <c r="J15" i="28"/>
  <c r="J16" i="28"/>
  <c r="J17" i="28"/>
  <c r="J18" i="28"/>
  <c r="J19" i="28"/>
  <c r="J20" i="28"/>
  <c r="H20" i="28" s="1"/>
  <c r="J21" i="28"/>
  <c r="H21" i="28" s="1"/>
  <c r="J22" i="28"/>
  <c r="J23" i="28"/>
  <c r="J24" i="28"/>
  <c r="J25" i="28"/>
  <c r="J26" i="28"/>
  <c r="J27" i="28"/>
  <c r="J28" i="28"/>
  <c r="H28" i="28" s="1"/>
  <c r="J29" i="28"/>
  <c r="J30" i="28"/>
  <c r="J31" i="28"/>
  <c r="J32" i="28"/>
  <c r="J33" i="28"/>
  <c r="J34" i="28"/>
  <c r="J35" i="28"/>
  <c r="J11" i="28"/>
  <c r="J12" i="29"/>
  <c r="J13" i="29"/>
  <c r="J14" i="29"/>
  <c r="J15" i="29"/>
  <c r="J16" i="29"/>
  <c r="J17" i="29"/>
  <c r="J18" i="29"/>
  <c r="J19" i="29"/>
  <c r="J20" i="29"/>
  <c r="J21" i="29"/>
  <c r="J22" i="29"/>
  <c r="J23" i="29"/>
  <c r="J24" i="29"/>
  <c r="J25" i="29"/>
  <c r="J26" i="29"/>
  <c r="J27" i="29"/>
  <c r="J28" i="29"/>
  <c r="J29" i="29"/>
  <c r="J30" i="29"/>
  <c r="J31" i="29"/>
  <c r="J32" i="29"/>
  <c r="J33" i="29"/>
  <c r="J34" i="29"/>
  <c r="J35" i="29"/>
  <c r="J11" i="29"/>
  <c r="H31" i="29"/>
  <c r="H34" i="29"/>
  <c r="I29" i="29"/>
  <c r="I30" i="29"/>
  <c r="H30" i="29" s="1"/>
  <c r="I31" i="29"/>
  <c r="I32" i="29"/>
  <c r="H32" i="29" s="1"/>
  <c r="I34" i="29"/>
  <c r="I35" i="29"/>
  <c r="H35" i="29" s="1"/>
  <c r="J12" i="8"/>
  <c r="J13" i="8"/>
  <c r="J14" i="8"/>
  <c r="J15" i="8"/>
  <c r="J16" i="8"/>
  <c r="J17" i="8"/>
  <c r="J18" i="8"/>
  <c r="J19" i="8"/>
  <c r="J20" i="8"/>
  <c r="J21" i="8"/>
  <c r="J22" i="8"/>
  <c r="J23" i="8"/>
  <c r="H23" i="8" s="1"/>
  <c r="J24" i="8"/>
  <c r="J25" i="8"/>
  <c r="J26" i="8"/>
  <c r="J27" i="8"/>
  <c r="J28" i="8"/>
  <c r="J29" i="8"/>
  <c r="J30" i="8"/>
  <c r="J31" i="8"/>
  <c r="H31" i="8" s="1"/>
  <c r="J32" i="8"/>
  <c r="J33" i="8"/>
  <c r="J11" i="8"/>
  <c r="C7" i="36"/>
  <c r="C6" i="36"/>
  <c r="G6" i="36"/>
  <c r="G7" i="36"/>
  <c r="A18" i="36"/>
  <c r="A17" i="36"/>
  <c r="A16" i="36"/>
  <c r="A15" i="36"/>
  <c r="A14" i="36"/>
  <c r="A13" i="36"/>
  <c r="A12" i="36"/>
  <c r="A11" i="36"/>
  <c r="A10" i="36"/>
  <c r="A9" i="36"/>
  <c r="H8" i="36"/>
  <c r="G8" i="36"/>
  <c r="F8" i="36"/>
  <c r="E8" i="36"/>
  <c r="D8" i="36"/>
  <c r="C8" i="36"/>
  <c r="A8" i="36"/>
  <c r="A18" i="24"/>
  <c r="A17" i="24"/>
  <c r="A16" i="24"/>
  <c r="A15" i="24"/>
  <c r="A14" i="24"/>
  <c r="A13" i="24"/>
  <c r="A12" i="24"/>
  <c r="AA35" i="35"/>
  <c r="X35" i="35"/>
  <c r="AA34" i="35"/>
  <c r="I34" i="35" s="1"/>
  <c r="X34" i="35"/>
  <c r="AA33" i="35"/>
  <c r="I33" i="35" s="1"/>
  <c r="X33" i="35"/>
  <c r="AA32" i="35"/>
  <c r="X32" i="35"/>
  <c r="AA31" i="35"/>
  <c r="X31" i="35"/>
  <c r="I31" i="35" s="1"/>
  <c r="AA30" i="35"/>
  <c r="I30" i="35" s="1"/>
  <c r="H30" i="35" s="1"/>
  <c r="X30" i="35"/>
  <c r="AA29" i="35"/>
  <c r="X29" i="35"/>
  <c r="I29" i="35" s="1"/>
  <c r="H29" i="35" s="1"/>
  <c r="AA28" i="35"/>
  <c r="X28" i="35"/>
  <c r="I28" i="35" s="1"/>
  <c r="H28" i="35" s="1"/>
  <c r="AA27" i="35"/>
  <c r="X27" i="35"/>
  <c r="I27" i="35" s="1"/>
  <c r="H27" i="35" s="1"/>
  <c r="AA26" i="35"/>
  <c r="X26" i="35"/>
  <c r="I26" i="35" s="1"/>
  <c r="AA25" i="35"/>
  <c r="I25" i="35" s="1"/>
  <c r="X25" i="35"/>
  <c r="AA24" i="35"/>
  <c r="X24" i="35"/>
  <c r="AA23" i="35"/>
  <c r="X23" i="35"/>
  <c r="I23" i="35" s="1"/>
  <c r="AA22" i="35"/>
  <c r="X22" i="35"/>
  <c r="AA21" i="35"/>
  <c r="X21" i="35"/>
  <c r="I21" i="35" s="1"/>
  <c r="H21" i="35" s="1"/>
  <c r="AA20" i="35"/>
  <c r="X20" i="35"/>
  <c r="I20" i="35" s="1"/>
  <c r="H20" i="35" s="1"/>
  <c r="AA19" i="35"/>
  <c r="X19" i="35"/>
  <c r="AA18" i="35"/>
  <c r="X18" i="35"/>
  <c r="I18" i="35" s="1"/>
  <c r="AA17" i="35"/>
  <c r="I17" i="35" s="1"/>
  <c r="H17" i="35" s="1"/>
  <c r="X17" i="35"/>
  <c r="AA16" i="35"/>
  <c r="X16" i="35"/>
  <c r="AA15" i="35"/>
  <c r="X15" i="35"/>
  <c r="I15" i="35" s="1"/>
  <c r="H15" i="35" s="1"/>
  <c r="AA14" i="35"/>
  <c r="I14" i="35" s="1"/>
  <c r="H14" i="35" s="1"/>
  <c r="X14" i="35"/>
  <c r="AA13" i="35"/>
  <c r="X13" i="35"/>
  <c r="I13" i="35" s="1"/>
  <c r="H13" i="35" s="1"/>
  <c r="AA12" i="35"/>
  <c r="X12" i="35"/>
  <c r="I12" i="35" s="1"/>
  <c r="H12" i="35" s="1"/>
  <c r="AA11" i="35"/>
  <c r="X11" i="35"/>
  <c r="M6" i="35"/>
  <c r="H6" i="35"/>
  <c r="D6" i="35"/>
  <c r="AA35" i="34"/>
  <c r="X35" i="34"/>
  <c r="AA34" i="34"/>
  <c r="X34" i="34"/>
  <c r="I34" i="34" s="1"/>
  <c r="AA33" i="34"/>
  <c r="I33" i="34" s="1"/>
  <c r="X33" i="34"/>
  <c r="AA32" i="34"/>
  <c r="X32" i="34"/>
  <c r="AA31" i="34"/>
  <c r="I31" i="34" s="1"/>
  <c r="X31" i="34"/>
  <c r="AA30" i="34"/>
  <c r="I30" i="34" s="1"/>
  <c r="X30" i="34"/>
  <c r="AA29" i="34"/>
  <c r="X29" i="34"/>
  <c r="I29" i="34" s="1"/>
  <c r="AA28" i="34"/>
  <c r="X28" i="34"/>
  <c r="AA27" i="34"/>
  <c r="X27" i="34"/>
  <c r="AA26" i="34"/>
  <c r="X26" i="34"/>
  <c r="I26" i="34" s="1"/>
  <c r="AA25" i="34"/>
  <c r="X25" i="34"/>
  <c r="AA24" i="34"/>
  <c r="X24" i="34"/>
  <c r="AA23" i="34"/>
  <c r="X23" i="34"/>
  <c r="AA22" i="34"/>
  <c r="X22" i="34"/>
  <c r="AA21" i="34"/>
  <c r="X21" i="34"/>
  <c r="I21" i="34" s="1"/>
  <c r="AA20" i="34"/>
  <c r="X20" i="34"/>
  <c r="AA19" i="34"/>
  <c r="X19" i="34"/>
  <c r="AA18" i="34"/>
  <c r="X18" i="34"/>
  <c r="I18" i="34" s="1"/>
  <c r="AA17" i="34"/>
  <c r="I17" i="34" s="1"/>
  <c r="X17" i="34"/>
  <c r="AA16" i="34"/>
  <c r="X16" i="34"/>
  <c r="AA15" i="34"/>
  <c r="I15" i="34" s="1"/>
  <c r="H15" i="34" s="1"/>
  <c r="X15" i="34"/>
  <c r="AA14" i="34"/>
  <c r="I14" i="34" s="1"/>
  <c r="H14" i="34" s="1"/>
  <c r="X14" i="34"/>
  <c r="AA13" i="34"/>
  <c r="X13" i="34"/>
  <c r="I13" i="34" s="1"/>
  <c r="H13" i="34" s="1"/>
  <c r="AA12" i="34"/>
  <c r="X12" i="34"/>
  <c r="AA11" i="34"/>
  <c r="X11" i="34"/>
  <c r="M6" i="34"/>
  <c r="H6" i="34"/>
  <c r="D6" i="34"/>
  <c r="AA35" i="33"/>
  <c r="X35" i="33"/>
  <c r="I35" i="33" s="1"/>
  <c r="AA34" i="33"/>
  <c r="I34" i="33" s="1"/>
  <c r="X34" i="33"/>
  <c r="AA33" i="33"/>
  <c r="X33" i="33"/>
  <c r="AA32" i="33"/>
  <c r="X32" i="33"/>
  <c r="I32" i="33" s="1"/>
  <c r="H32" i="33" s="1"/>
  <c r="AA31" i="33"/>
  <c r="X31" i="33"/>
  <c r="I31" i="33" s="1"/>
  <c r="H31" i="33" s="1"/>
  <c r="AA30" i="33"/>
  <c r="X30" i="33"/>
  <c r="I30" i="33" s="1"/>
  <c r="AA29" i="33"/>
  <c r="X29" i="33"/>
  <c r="I29" i="33" s="1"/>
  <c r="H29" i="33" s="1"/>
  <c r="AA28" i="33"/>
  <c r="X28" i="33"/>
  <c r="I28" i="33" s="1"/>
  <c r="AA27" i="33"/>
  <c r="X27" i="33"/>
  <c r="I27" i="33" s="1"/>
  <c r="AA26" i="33"/>
  <c r="X26" i="33"/>
  <c r="AA25" i="33"/>
  <c r="X25" i="33"/>
  <c r="AA24" i="33"/>
  <c r="X24" i="33"/>
  <c r="I24" i="33" s="1"/>
  <c r="AA23" i="33"/>
  <c r="X23" i="33"/>
  <c r="I23" i="33" s="1"/>
  <c r="H23" i="33" s="1"/>
  <c r="AA22" i="33"/>
  <c r="X22" i="33"/>
  <c r="I22" i="33" s="1"/>
  <c r="AA21" i="33"/>
  <c r="X21" i="33"/>
  <c r="I21" i="33" s="1"/>
  <c r="H21" i="33" s="1"/>
  <c r="AA20" i="33"/>
  <c r="X20" i="33"/>
  <c r="I20" i="33" s="1"/>
  <c r="AA19" i="33"/>
  <c r="X19" i="33"/>
  <c r="AA18" i="33"/>
  <c r="X18" i="33"/>
  <c r="AA17" i="33"/>
  <c r="I17" i="33" s="1"/>
  <c r="X17" i="33"/>
  <c r="AA16" i="33"/>
  <c r="X16" i="33"/>
  <c r="I16" i="33" s="1"/>
  <c r="H16" i="33" s="1"/>
  <c r="AA15" i="33"/>
  <c r="X15" i="33"/>
  <c r="I15" i="33" s="1"/>
  <c r="H15" i="33" s="1"/>
  <c r="AA14" i="33"/>
  <c r="X14" i="33"/>
  <c r="I14" i="33" s="1"/>
  <c r="AA13" i="33"/>
  <c r="X13" i="33"/>
  <c r="AA12" i="33"/>
  <c r="X12" i="33"/>
  <c r="AA11" i="33"/>
  <c r="X11" i="33"/>
  <c r="M6" i="33"/>
  <c r="H6" i="33"/>
  <c r="D6" i="33"/>
  <c r="AA35" i="32"/>
  <c r="X35" i="32"/>
  <c r="AA34" i="32"/>
  <c r="X34" i="32"/>
  <c r="AA33" i="32"/>
  <c r="X33" i="32"/>
  <c r="AA32" i="32"/>
  <c r="X32" i="32"/>
  <c r="AA31" i="32"/>
  <c r="X31" i="32"/>
  <c r="I31" i="32" s="1"/>
  <c r="H31" i="32" s="1"/>
  <c r="AA30" i="32"/>
  <c r="X30" i="32"/>
  <c r="I30" i="32" s="1"/>
  <c r="AA29" i="32"/>
  <c r="X29" i="32"/>
  <c r="AA28" i="32"/>
  <c r="X28" i="32"/>
  <c r="I28" i="32" s="1"/>
  <c r="H28" i="32" s="1"/>
  <c r="AA27" i="32"/>
  <c r="X27" i="32"/>
  <c r="I27" i="32" s="1"/>
  <c r="H27" i="32" s="1"/>
  <c r="AA26" i="32"/>
  <c r="X26" i="32"/>
  <c r="I26" i="32" s="1"/>
  <c r="AA25" i="32"/>
  <c r="X25" i="32"/>
  <c r="AA24" i="32"/>
  <c r="X24" i="32"/>
  <c r="AA23" i="32"/>
  <c r="X23" i="32"/>
  <c r="I23" i="32" s="1"/>
  <c r="H23" i="32" s="1"/>
  <c r="AA22" i="32"/>
  <c r="X22" i="32"/>
  <c r="I22" i="32" s="1"/>
  <c r="H22" i="32" s="1"/>
  <c r="AA21" i="32"/>
  <c r="X21" i="32"/>
  <c r="AA20" i="32"/>
  <c r="X20" i="32"/>
  <c r="I20" i="32" s="1"/>
  <c r="H20" i="32" s="1"/>
  <c r="AA19" i="32"/>
  <c r="X19" i="32"/>
  <c r="I19" i="32" s="1"/>
  <c r="H19" i="32" s="1"/>
  <c r="AA18" i="32"/>
  <c r="X18" i="32"/>
  <c r="I18" i="32" s="1"/>
  <c r="AA17" i="32"/>
  <c r="I17" i="32" s="1"/>
  <c r="X17" i="32"/>
  <c r="AA16" i="32"/>
  <c r="I16" i="32" s="1"/>
  <c r="H16" i="32" s="1"/>
  <c r="X16" i="32"/>
  <c r="AA15" i="32"/>
  <c r="X15" i="32"/>
  <c r="I15" i="32" s="1"/>
  <c r="H15" i="32" s="1"/>
  <c r="AA14" i="32"/>
  <c r="X14" i="32"/>
  <c r="I14" i="32" s="1"/>
  <c r="H14" i="32" s="1"/>
  <c r="AA13" i="32"/>
  <c r="X13" i="32"/>
  <c r="AA12" i="32"/>
  <c r="X12" i="32"/>
  <c r="I12" i="32" s="1"/>
  <c r="H12" i="32" s="1"/>
  <c r="AA11" i="32"/>
  <c r="X11" i="32"/>
  <c r="M6" i="32"/>
  <c r="H6" i="32"/>
  <c r="D6" i="32"/>
  <c r="AA35" i="31"/>
  <c r="X35" i="31"/>
  <c r="AA34" i="31"/>
  <c r="I34" i="31" s="1"/>
  <c r="X34" i="31"/>
  <c r="AA33" i="31"/>
  <c r="X33" i="31"/>
  <c r="AA32" i="31"/>
  <c r="X32" i="31"/>
  <c r="AA31" i="31"/>
  <c r="X31" i="31"/>
  <c r="I31" i="31" s="1"/>
  <c r="H31" i="31" s="1"/>
  <c r="AA30" i="31"/>
  <c r="X30" i="31"/>
  <c r="AA29" i="31"/>
  <c r="X29" i="31"/>
  <c r="AA28" i="31"/>
  <c r="X28" i="31"/>
  <c r="AA27" i="31"/>
  <c r="I27" i="31" s="1"/>
  <c r="X27" i="31"/>
  <c r="AA26" i="31"/>
  <c r="I26" i="31" s="1"/>
  <c r="X26" i="31"/>
  <c r="AA25" i="31"/>
  <c r="X25" i="31"/>
  <c r="AA24" i="31"/>
  <c r="X24" i="31"/>
  <c r="AA23" i="31"/>
  <c r="X23" i="31"/>
  <c r="I23" i="31" s="1"/>
  <c r="H23" i="31" s="1"/>
  <c r="AA22" i="31"/>
  <c r="X22" i="31"/>
  <c r="AA21" i="31"/>
  <c r="X21" i="31"/>
  <c r="AA20" i="31"/>
  <c r="X20" i="31"/>
  <c r="AA19" i="31"/>
  <c r="I19" i="31" s="1"/>
  <c r="H19" i="31" s="1"/>
  <c r="X19" i="31"/>
  <c r="AA18" i="31"/>
  <c r="I18" i="31" s="1"/>
  <c r="X18" i="31"/>
  <c r="AA17" i="31"/>
  <c r="X17" i="31"/>
  <c r="AA16" i="31"/>
  <c r="X16" i="31"/>
  <c r="AA15" i="31"/>
  <c r="X15" i="31"/>
  <c r="I15" i="31" s="1"/>
  <c r="AA14" i="31"/>
  <c r="X14" i="31"/>
  <c r="AA13" i="31"/>
  <c r="X13" i="31"/>
  <c r="AA12" i="31"/>
  <c r="X12" i="31"/>
  <c r="I12" i="31" s="1"/>
  <c r="AA11" i="31"/>
  <c r="X11" i="31"/>
  <c r="M6" i="31"/>
  <c r="H6" i="31"/>
  <c r="D6" i="31"/>
  <c r="AA35" i="30"/>
  <c r="X35" i="30"/>
  <c r="I35" i="30" s="1"/>
  <c r="H35" i="30" s="1"/>
  <c r="AA34" i="30"/>
  <c r="X34" i="30"/>
  <c r="I34" i="30" s="1"/>
  <c r="AA33" i="30"/>
  <c r="X33" i="30"/>
  <c r="AA32" i="30"/>
  <c r="X32" i="30"/>
  <c r="I32" i="30" s="1"/>
  <c r="AA31" i="30"/>
  <c r="X31" i="30"/>
  <c r="I31" i="30" s="1"/>
  <c r="H31" i="30" s="1"/>
  <c r="AA30" i="30"/>
  <c r="X30" i="30"/>
  <c r="I30" i="30" s="1"/>
  <c r="AA29" i="30"/>
  <c r="X29" i="30"/>
  <c r="AA28" i="30"/>
  <c r="I28" i="30" s="1"/>
  <c r="X28" i="30"/>
  <c r="AA27" i="30"/>
  <c r="X27" i="30"/>
  <c r="I27" i="30" s="1"/>
  <c r="AA26" i="30"/>
  <c r="X26" i="30"/>
  <c r="I26" i="30" s="1"/>
  <c r="AA25" i="30"/>
  <c r="I25" i="30" s="1"/>
  <c r="X25" i="30"/>
  <c r="AA24" i="30"/>
  <c r="X24" i="30"/>
  <c r="I24" i="30" s="1"/>
  <c r="H24" i="30" s="1"/>
  <c r="AA23" i="30"/>
  <c r="X23" i="30"/>
  <c r="I23" i="30" s="1"/>
  <c r="H23" i="30" s="1"/>
  <c r="AA22" i="30"/>
  <c r="X22" i="30"/>
  <c r="I22" i="30" s="1"/>
  <c r="AA21" i="30"/>
  <c r="I21" i="30" s="1"/>
  <c r="X21" i="30"/>
  <c r="AA20" i="30"/>
  <c r="I20" i="30" s="1"/>
  <c r="X20" i="30"/>
  <c r="AA19" i="30"/>
  <c r="X19" i="30"/>
  <c r="AA18" i="30"/>
  <c r="X18" i="30"/>
  <c r="AA17" i="30"/>
  <c r="X17" i="30"/>
  <c r="AA16" i="30"/>
  <c r="X16" i="30"/>
  <c r="AA15" i="30"/>
  <c r="X15" i="30"/>
  <c r="AA14" i="30"/>
  <c r="X14" i="30"/>
  <c r="AA13" i="30"/>
  <c r="X13" i="30"/>
  <c r="AA12" i="30"/>
  <c r="X12" i="30"/>
  <c r="AA11" i="30"/>
  <c r="X11" i="30"/>
  <c r="M6" i="30"/>
  <c r="H6" i="30"/>
  <c r="D6" i="30"/>
  <c r="AA12" i="27"/>
  <c r="AA13" i="27"/>
  <c r="AA14" i="27"/>
  <c r="AA15" i="27"/>
  <c r="AA16" i="27"/>
  <c r="AA17" i="27"/>
  <c r="AA18" i="27"/>
  <c r="AA19" i="27"/>
  <c r="AA20" i="27"/>
  <c r="AA21" i="27"/>
  <c r="I21" i="27" s="1"/>
  <c r="AA22" i="27"/>
  <c r="I22" i="27" s="1"/>
  <c r="AA23" i="27"/>
  <c r="AA24" i="27"/>
  <c r="AA25" i="27"/>
  <c r="AA26" i="27"/>
  <c r="AA27" i="27"/>
  <c r="AA28" i="27"/>
  <c r="AA29" i="27"/>
  <c r="I29" i="27" s="1"/>
  <c r="AA30" i="27"/>
  <c r="I30" i="27" s="1"/>
  <c r="AA31" i="27"/>
  <c r="AA32" i="27"/>
  <c r="I32" i="27" s="1"/>
  <c r="AA33" i="27"/>
  <c r="AA34" i="27"/>
  <c r="AA35" i="27"/>
  <c r="X12" i="27"/>
  <c r="I12" i="27" s="1"/>
  <c r="X13" i="27"/>
  <c r="X14" i="27"/>
  <c r="X15" i="27"/>
  <c r="I15" i="27" s="1"/>
  <c r="X16" i="27"/>
  <c r="X17" i="27"/>
  <c r="X18" i="27"/>
  <c r="X19" i="27"/>
  <c r="I19" i="27" s="1"/>
  <c r="X20" i="27"/>
  <c r="I20" i="27" s="1"/>
  <c r="X21" i="27"/>
  <c r="X22" i="27"/>
  <c r="X23" i="27"/>
  <c r="X24" i="27"/>
  <c r="X25" i="27"/>
  <c r="I25" i="27" s="1"/>
  <c r="X26" i="27"/>
  <c r="I26" i="27" s="1"/>
  <c r="X27" i="27"/>
  <c r="I27" i="27" s="1"/>
  <c r="X28" i="27"/>
  <c r="I28" i="27" s="1"/>
  <c r="X29" i="27"/>
  <c r="X30" i="27"/>
  <c r="X31" i="27"/>
  <c r="X32" i="27"/>
  <c r="X33" i="27"/>
  <c r="I33" i="27" s="1"/>
  <c r="X34" i="27"/>
  <c r="I34" i="27" s="1"/>
  <c r="X35" i="27"/>
  <c r="I35" i="27" s="1"/>
  <c r="AA11" i="27"/>
  <c r="X11" i="27"/>
  <c r="AA12" i="28"/>
  <c r="AA13" i="28"/>
  <c r="AA14" i="28"/>
  <c r="AA15" i="28"/>
  <c r="AA16" i="28"/>
  <c r="AA17" i="28"/>
  <c r="AA18" i="28"/>
  <c r="AA19" i="28"/>
  <c r="AA20" i="28"/>
  <c r="AA21" i="28"/>
  <c r="AA22" i="28"/>
  <c r="I22" i="28" s="1"/>
  <c r="AA23" i="28"/>
  <c r="I23" i="28" s="1"/>
  <c r="AA24" i="28"/>
  <c r="I24" i="28" s="1"/>
  <c r="AA25" i="28"/>
  <c r="AA26" i="28"/>
  <c r="AA27" i="28"/>
  <c r="AA28" i="28"/>
  <c r="AA29" i="28"/>
  <c r="AA30" i="28"/>
  <c r="AA31" i="28"/>
  <c r="AA32" i="28"/>
  <c r="AA33" i="28"/>
  <c r="AA34" i="28"/>
  <c r="AA35" i="28"/>
  <c r="X12" i="28"/>
  <c r="I12" i="28" s="1"/>
  <c r="X13" i="28"/>
  <c r="I13" i="28" s="1"/>
  <c r="X14" i="28"/>
  <c r="I14" i="28" s="1"/>
  <c r="X15" i="28"/>
  <c r="I15" i="28" s="1"/>
  <c r="X16" i="28"/>
  <c r="X17" i="28"/>
  <c r="X18" i="28"/>
  <c r="I18" i="28" s="1"/>
  <c r="X19" i="28"/>
  <c r="I19" i="28" s="1"/>
  <c r="X20" i="28"/>
  <c r="I20" i="28" s="1"/>
  <c r="X21" i="28"/>
  <c r="I21" i="28" s="1"/>
  <c r="X22" i="28"/>
  <c r="X23" i="28"/>
  <c r="X24" i="28"/>
  <c r="X25" i="28"/>
  <c r="I25" i="28" s="1"/>
  <c r="X26" i="28"/>
  <c r="I26" i="28" s="1"/>
  <c r="X27" i="28"/>
  <c r="I27" i="28" s="1"/>
  <c r="X28" i="28"/>
  <c r="I28" i="28" s="1"/>
  <c r="X29" i="28"/>
  <c r="I29" i="28" s="1"/>
  <c r="H29" i="28" s="1"/>
  <c r="X30" i="28"/>
  <c r="X31" i="28"/>
  <c r="X32" i="28"/>
  <c r="X33" i="28"/>
  <c r="I33" i="28" s="1"/>
  <c r="X34" i="28"/>
  <c r="I34" i="28" s="1"/>
  <c r="X35" i="28"/>
  <c r="I35" i="28" s="1"/>
  <c r="AA11" i="28"/>
  <c r="X11" i="28"/>
  <c r="AA12" i="29"/>
  <c r="AA13" i="29"/>
  <c r="AA14" i="29"/>
  <c r="AA15" i="29"/>
  <c r="AA16" i="29"/>
  <c r="AA17" i="29"/>
  <c r="AA18" i="29"/>
  <c r="AA19" i="29"/>
  <c r="AA20" i="29"/>
  <c r="AA21" i="29"/>
  <c r="I21" i="29" s="1"/>
  <c r="AA22" i="29"/>
  <c r="I22" i="29" s="1"/>
  <c r="AA23" i="29"/>
  <c r="I23" i="29" s="1"/>
  <c r="AA24" i="29"/>
  <c r="I24" i="29" s="1"/>
  <c r="AA25" i="29"/>
  <c r="AA26" i="29"/>
  <c r="AA27" i="29"/>
  <c r="AA28" i="29"/>
  <c r="I28" i="29" s="1"/>
  <c r="AA29" i="29"/>
  <c r="AA30" i="29"/>
  <c r="AA31" i="29"/>
  <c r="AA32" i="29"/>
  <c r="AA33" i="29"/>
  <c r="AA34" i="29"/>
  <c r="AA35" i="29"/>
  <c r="AA11" i="29"/>
  <c r="X12" i="29"/>
  <c r="X13" i="29"/>
  <c r="X14" i="29"/>
  <c r="X15" i="29"/>
  <c r="X16" i="29"/>
  <c r="X17" i="29"/>
  <c r="X18" i="29"/>
  <c r="X19" i="29"/>
  <c r="X20" i="29"/>
  <c r="X21" i="29"/>
  <c r="X22" i="29"/>
  <c r="X23" i="29"/>
  <c r="X24" i="29"/>
  <c r="X25" i="29"/>
  <c r="I25" i="29" s="1"/>
  <c r="X26" i="29"/>
  <c r="I26" i="29" s="1"/>
  <c r="X27" i="29"/>
  <c r="I27" i="29" s="1"/>
  <c r="H27" i="29" s="1"/>
  <c r="X28" i="29"/>
  <c r="X29" i="29"/>
  <c r="X30" i="29"/>
  <c r="X31" i="29"/>
  <c r="X32" i="29"/>
  <c r="X33" i="29"/>
  <c r="I33" i="29" s="1"/>
  <c r="H33" i="29" s="1"/>
  <c r="X34" i="29"/>
  <c r="X35" i="29"/>
  <c r="X11" i="29"/>
  <c r="AA12" i="8"/>
  <c r="AA13" i="8"/>
  <c r="AA14" i="8"/>
  <c r="AA15" i="8"/>
  <c r="AA16" i="8"/>
  <c r="AA17" i="8"/>
  <c r="AA18" i="8"/>
  <c r="AA19" i="8"/>
  <c r="AA20" i="8"/>
  <c r="AA21" i="8"/>
  <c r="AA22" i="8"/>
  <c r="AA23" i="8"/>
  <c r="AA24" i="8"/>
  <c r="AA25" i="8"/>
  <c r="AA26" i="8"/>
  <c r="AA27" i="8"/>
  <c r="AA28" i="8"/>
  <c r="AA29" i="8"/>
  <c r="AA30" i="8"/>
  <c r="AA31" i="8"/>
  <c r="AA32" i="8"/>
  <c r="AA33" i="8"/>
  <c r="AA11" i="8"/>
  <c r="X12" i="8"/>
  <c r="X13" i="8"/>
  <c r="X14" i="8"/>
  <c r="X15" i="8"/>
  <c r="X16" i="8"/>
  <c r="X17" i="8"/>
  <c r="X18" i="8"/>
  <c r="X19" i="8"/>
  <c r="I19" i="8" s="1"/>
  <c r="H19" i="8" s="1"/>
  <c r="X20" i="8"/>
  <c r="X21" i="8"/>
  <c r="I21" i="8" s="1"/>
  <c r="X22" i="8"/>
  <c r="X23" i="8"/>
  <c r="I23" i="8" s="1"/>
  <c r="X24" i="8"/>
  <c r="I24" i="8" s="1"/>
  <c r="X25" i="8"/>
  <c r="I25" i="8" s="1"/>
  <c r="X26" i="8"/>
  <c r="I26" i="8" s="1"/>
  <c r="X27" i="8"/>
  <c r="I27" i="8" s="1"/>
  <c r="H27" i="8" s="1"/>
  <c r="X28" i="8"/>
  <c r="X29" i="8"/>
  <c r="I29" i="8" s="1"/>
  <c r="H29" i="8" s="1"/>
  <c r="X30" i="8"/>
  <c r="X31" i="8"/>
  <c r="I31" i="8" s="1"/>
  <c r="X32" i="8"/>
  <c r="I32" i="8" s="1"/>
  <c r="X33" i="8"/>
  <c r="I33" i="8" s="1"/>
  <c r="X11" i="8"/>
  <c r="M6" i="27"/>
  <c r="H6" i="27"/>
  <c r="D6" i="27"/>
  <c r="M6" i="28"/>
  <c r="H6" i="28"/>
  <c r="D6" i="28"/>
  <c r="M6" i="29"/>
  <c r="H6" i="29"/>
  <c r="D6" i="29"/>
  <c r="M6" i="8"/>
  <c r="D6" i="8"/>
  <c r="H6" i="8"/>
  <c r="A11" i="24"/>
  <c r="A10" i="24"/>
  <c r="A9" i="24"/>
  <c r="G8" i="24"/>
  <c r="F8" i="24"/>
  <c r="E8" i="24"/>
  <c r="D8" i="24"/>
  <c r="B8" i="24"/>
  <c r="A8" i="24"/>
  <c r="C8" i="24"/>
  <c r="I17" i="29" l="1"/>
  <c r="I16" i="29"/>
  <c r="H16" i="29" s="1"/>
  <c r="I14" i="29"/>
  <c r="I16" i="27"/>
  <c r="I17" i="27"/>
  <c r="I18" i="27"/>
  <c r="I16" i="30"/>
  <c r="H16" i="30" s="1"/>
  <c r="I17" i="8"/>
  <c r="H13" i="28"/>
  <c r="H12" i="28"/>
  <c r="I19" i="29"/>
  <c r="H19" i="29" s="1"/>
  <c r="I11" i="30"/>
  <c r="H15" i="31"/>
  <c r="I16" i="8"/>
  <c r="H16" i="8" s="1"/>
  <c r="I15" i="29"/>
  <c r="H15" i="29" s="1"/>
  <c r="I13" i="30"/>
  <c r="I17" i="30"/>
  <c r="H17" i="30" s="1"/>
  <c r="H14" i="29"/>
  <c r="I14" i="30"/>
  <c r="I18" i="30"/>
  <c r="H18" i="30" s="1"/>
  <c r="I18" i="29"/>
  <c r="H18" i="29" s="1"/>
  <c r="I11" i="28"/>
  <c r="H11" i="28" s="1"/>
  <c r="I12" i="33"/>
  <c r="H12" i="33" s="1"/>
  <c r="H17" i="27"/>
  <c r="I14" i="27"/>
  <c r="I13" i="8"/>
  <c r="I18" i="8"/>
  <c r="I20" i="29"/>
  <c r="H20" i="29" s="1"/>
  <c r="I13" i="29"/>
  <c r="H13" i="29" s="1"/>
  <c r="H18" i="27"/>
  <c r="I13" i="27"/>
  <c r="H13" i="27" s="1"/>
  <c r="I15" i="30"/>
  <c r="H15" i="30" s="1"/>
  <c r="I13" i="33"/>
  <c r="H13" i="33" s="1"/>
  <c r="I11" i="31"/>
  <c r="H11" i="31" s="1"/>
  <c r="I11" i="8"/>
  <c r="H11" i="8" s="1"/>
  <c r="G27" i="8" s="1"/>
  <c r="H21" i="8"/>
  <c r="H33" i="8"/>
  <c r="G33" i="8" s="1"/>
  <c r="H25" i="8"/>
  <c r="I20" i="8"/>
  <c r="H20" i="8" s="1"/>
  <c r="I28" i="8"/>
  <c r="H28" i="8" s="1"/>
  <c r="H26" i="8"/>
  <c r="H18" i="8"/>
  <c r="I30" i="8"/>
  <c r="H30" i="8" s="1"/>
  <c r="I22" i="8"/>
  <c r="H22" i="8" s="1"/>
  <c r="G22" i="8" s="1"/>
  <c r="I14" i="8"/>
  <c r="H14" i="8" s="1"/>
  <c r="H32" i="8"/>
  <c r="G32" i="8" s="1"/>
  <c r="H24" i="8"/>
  <c r="I15" i="8"/>
  <c r="I11" i="33"/>
  <c r="H11" i="33" s="1"/>
  <c r="I12" i="30"/>
  <c r="H12" i="30" s="1"/>
  <c r="I11" i="27"/>
  <c r="H11" i="27" s="1"/>
  <c r="I12" i="29"/>
  <c r="H12" i="29" s="1"/>
  <c r="I11" i="35"/>
  <c r="H11" i="35" s="1"/>
  <c r="I11" i="32"/>
  <c r="H11" i="32" s="1"/>
  <c r="G15" i="32" s="1"/>
  <c r="I13" i="32"/>
  <c r="H13" i="32" s="1"/>
  <c r="I21" i="32"/>
  <c r="H21" i="32" s="1"/>
  <c r="I29" i="32"/>
  <c r="H29" i="32" s="1"/>
  <c r="H30" i="32"/>
  <c r="H17" i="32"/>
  <c r="G12" i="32" s="1"/>
  <c r="G16" i="32"/>
  <c r="H34" i="32"/>
  <c r="H26" i="32"/>
  <c r="H18" i="32"/>
  <c r="H33" i="35"/>
  <c r="H25" i="35"/>
  <c r="H32" i="35"/>
  <c r="H24" i="35"/>
  <c r="H31" i="35"/>
  <c r="H23" i="35"/>
  <c r="H34" i="35"/>
  <c r="H26" i="35"/>
  <c r="H18" i="35"/>
  <c r="I11" i="29"/>
  <c r="H11" i="29" s="1"/>
  <c r="I12" i="8"/>
  <c r="H12" i="8" s="1"/>
  <c r="H15" i="8"/>
  <c r="H13" i="8"/>
  <c r="H23" i="29"/>
  <c r="H29" i="29"/>
  <c r="H28" i="29"/>
  <c r="H22" i="29"/>
  <c r="H21" i="29"/>
  <c r="H17" i="29"/>
  <c r="H26" i="29"/>
  <c r="H25" i="29"/>
  <c r="H24" i="29"/>
  <c r="H32" i="28"/>
  <c r="H24" i="28"/>
  <c r="H16" i="28"/>
  <c r="H31" i="28"/>
  <c r="H23" i="28"/>
  <c r="H15" i="28"/>
  <c r="H30" i="28"/>
  <c r="H22" i="28"/>
  <c r="H14" i="28"/>
  <c r="H35" i="28"/>
  <c r="H34" i="28"/>
  <c r="H18" i="28"/>
  <c r="H33" i="28"/>
  <c r="H25" i="28"/>
  <c r="H19" i="28"/>
  <c r="H26" i="28"/>
  <c r="H27" i="28"/>
  <c r="H32" i="27"/>
  <c r="H16" i="27"/>
  <c r="H31" i="27"/>
  <c r="H15" i="27"/>
  <c r="H22" i="27"/>
  <c r="H30" i="27"/>
  <c r="H14" i="27"/>
  <c r="H29" i="27"/>
  <c r="H21" i="27"/>
  <c r="H28" i="27"/>
  <c r="H20" i="27"/>
  <c r="H12" i="27"/>
  <c r="H35" i="27"/>
  <c r="H27" i="27"/>
  <c r="H19" i="27"/>
  <c r="H21" i="30"/>
  <c r="H28" i="30"/>
  <c r="H20" i="30"/>
  <c r="H33" i="30"/>
  <c r="H25" i="30"/>
  <c r="H13" i="30"/>
  <c r="H32" i="30"/>
  <c r="H14" i="30"/>
  <c r="H29" i="30"/>
  <c r="H27" i="31"/>
  <c r="I16" i="31"/>
  <c r="H16" i="31" s="1"/>
  <c r="I24" i="31"/>
  <c r="H24" i="31" s="1"/>
  <c r="I32" i="31"/>
  <c r="H32" i="31" s="1"/>
  <c r="H12" i="31"/>
  <c r="H33" i="31"/>
  <c r="I13" i="31"/>
  <c r="H13" i="31" s="1"/>
  <c r="I17" i="31"/>
  <c r="H17" i="31" s="1"/>
  <c r="I21" i="31"/>
  <c r="H21" i="31" s="1"/>
  <c r="I25" i="31"/>
  <c r="H25" i="31" s="1"/>
  <c r="I29" i="31"/>
  <c r="I33" i="31"/>
  <c r="H35" i="31"/>
  <c r="H29" i="31"/>
  <c r="I14" i="31"/>
  <c r="H14" i="31" s="1"/>
  <c r="I22" i="31"/>
  <c r="H22" i="31" s="1"/>
  <c r="I30" i="31"/>
  <c r="H30" i="31" s="1"/>
  <c r="H28" i="33"/>
  <c r="H20" i="33"/>
  <c r="H35" i="33"/>
  <c r="H27" i="33"/>
  <c r="H33" i="33"/>
  <c r="H24" i="33"/>
  <c r="H30" i="33"/>
  <c r="H22" i="33"/>
  <c r="H14" i="33"/>
  <c r="H17" i="33"/>
  <c r="H25" i="34"/>
  <c r="H23" i="34"/>
  <c r="H22" i="34"/>
  <c r="I11" i="34"/>
  <c r="H11" i="34" s="1"/>
  <c r="I27" i="34"/>
  <c r="H27" i="34" s="1"/>
  <c r="I35" i="34"/>
  <c r="H35" i="34" s="1"/>
  <c r="H33" i="34"/>
  <c r="H31" i="34"/>
  <c r="I12" i="34"/>
  <c r="H12" i="34" s="1"/>
  <c r="I16" i="34"/>
  <c r="H16" i="34" s="1"/>
  <c r="I20" i="34"/>
  <c r="H20" i="34" s="1"/>
  <c r="I24" i="34"/>
  <c r="H24" i="34" s="1"/>
  <c r="I28" i="34"/>
  <c r="H28" i="34" s="1"/>
  <c r="I32" i="34"/>
  <c r="H32" i="34" s="1"/>
  <c r="H29" i="34"/>
  <c r="H21" i="34"/>
  <c r="H17" i="34"/>
  <c r="H30" i="34"/>
  <c r="H34" i="34"/>
  <c r="H26" i="34"/>
  <c r="H18" i="34"/>
  <c r="H34" i="33"/>
  <c r="H26" i="33"/>
  <c r="H18" i="33"/>
  <c r="H34" i="31"/>
  <c r="H26" i="31"/>
  <c r="H18" i="31"/>
  <c r="H11" i="30"/>
  <c r="H34" i="30"/>
  <c r="H26" i="30"/>
  <c r="H17" i="8"/>
  <c r="G16" i="29" l="1"/>
  <c r="G15" i="30"/>
  <c r="G16" i="27"/>
  <c r="G25" i="8"/>
  <c r="G24" i="8"/>
  <c r="G20" i="8"/>
  <c r="G28" i="8"/>
  <c r="G21" i="8"/>
  <c r="G29" i="8"/>
  <c r="G30" i="8"/>
  <c r="G23" i="8"/>
  <c r="G31" i="8"/>
  <c r="G18" i="8"/>
  <c r="G26" i="8"/>
  <c r="G19" i="8"/>
  <c r="G13" i="32"/>
  <c r="G13" i="35"/>
  <c r="G16" i="35"/>
  <c r="G12" i="35"/>
  <c r="G15" i="35"/>
  <c r="G12" i="8"/>
  <c r="G14" i="8"/>
  <c r="G17" i="8"/>
  <c r="G13" i="8"/>
  <c r="G15" i="29"/>
  <c r="G12" i="30"/>
  <c r="G13" i="30"/>
  <c r="G16" i="30"/>
  <c r="G16" i="31"/>
  <c r="G13" i="31"/>
  <c r="G12" i="31"/>
  <c r="G15" i="31"/>
  <c r="G15" i="33"/>
  <c r="G13" i="33"/>
  <c r="G16" i="33"/>
  <c r="G12" i="33"/>
  <c r="G13" i="34"/>
  <c r="G15" i="34"/>
  <c r="G16" i="34"/>
  <c r="G12" i="34"/>
  <c r="G11" i="8"/>
  <c r="G15" i="8"/>
  <c r="G16" i="8"/>
  <c r="G20" i="31"/>
  <c r="G34" i="35"/>
  <c r="G29" i="33"/>
  <c r="G33" i="34"/>
  <c r="G21" i="35"/>
  <c r="G29" i="30"/>
  <c r="G25" i="29"/>
  <c r="G25" i="32"/>
  <c r="G20" i="34"/>
  <c r="G21" i="32"/>
  <c r="G30" i="32"/>
  <c r="G28" i="32"/>
  <c r="G20" i="32"/>
  <c r="G32" i="32"/>
  <c r="G23" i="32"/>
  <c r="G24" i="32"/>
  <c r="G17" i="32"/>
  <c r="G18" i="32"/>
  <c r="G34" i="32"/>
  <c r="G14" i="32"/>
  <c r="G22" i="32"/>
  <c r="G26" i="32"/>
  <c r="G19" i="32"/>
  <c r="G31" i="32"/>
  <c r="G33" i="32"/>
  <c r="G27" i="32"/>
  <c r="G29" i="32"/>
  <c r="G35" i="32"/>
  <c r="G29" i="35"/>
  <c r="G19" i="35"/>
  <c r="G20" i="35"/>
  <c r="G18" i="35"/>
  <c r="G25" i="35"/>
  <c r="G28" i="35"/>
  <c r="G23" i="35"/>
  <c r="G35" i="35"/>
  <c r="G33" i="35"/>
  <c r="G27" i="35"/>
  <c r="G32" i="35"/>
  <c r="G26" i="35"/>
  <c r="G24" i="35"/>
  <c r="G17" i="35"/>
  <c r="G22" i="35"/>
  <c r="G30" i="35"/>
  <c r="G14" i="35"/>
  <c r="G31" i="35"/>
  <c r="G24" i="34"/>
  <c r="G14" i="34"/>
  <c r="G23" i="34"/>
  <c r="G29" i="34"/>
  <c r="G17" i="34"/>
  <c r="G30" i="34"/>
  <c r="G25" i="34"/>
  <c r="G18" i="34"/>
  <c r="G35" i="34"/>
  <c r="G21" i="34"/>
  <c r="G32" i="34"/>
  <c r="G27" i="34"/>
  <c r="G34" i="34"/>
  <c r="G28" i="34"/>
  <c r="G22" i="34"/>
  <c r="G26" i="34"/>
  <c r="G31" i="34"/>
  <c r="G19" i="34"/>
  <c r="G28" i="33"/>
  <c r="G21" i="33"/>
  <c r="G32" i="33"/>
  <c r="G26" i="33"/>
  <c r="G19" i="33"/>
  <c r="G31" i="33"/>
  <c r="G22" i="33"/>
  <c r="G25" i="33"/>
  <c r="G23" i="33"/>
  <c r="G30" i="33"/>
  <c r="G34" i="33"/>
  <c r="G27" i="33"/>
  <c r="G20" i="33"/>
  <c r="G14" i="33"/>
  <c r="G33" i="33"/>
  <c r="G35" i="33"/>
  <c r="G18" i="33"/>
  <c r="G17" i="33"/>
  <c r="G24" i="33"/>
  <c r="G27" i="31"/>
  <c r="G33" i="31"/>
  <c r="G23" i="31"/>
  <c r="G22" i="31"/>
  <c r="G18" i="31"/>
  <c r="G29" i="31"/>
  <c r="G25" i="31"/>
  <c r="G21" i="31"/>
  <c r="G30" i="31"/>
  <c r="G34" i="31"/>
  <c r="G32" i="31"/>
  <c r="G24" i="31"/>
  <c r="G28" i="31"/>
  <c r="G17" i="31"/>
  <c r="G31" i="31"/>
  <c r="G14" i="31"/>
  <c r="G26" i="31"/>
  <c r="G19" i="31"/>
  <c r="G35" i="31"/>
  <c r="G25" i="30"/>
  <c r="G33" i="30"/>
  <c r="G18" i="30"/>
  <c r="G17" i="30"/>
  <c r="G22" i="30"/>
  <c r="G32" i="30"/>
  <c r="G30" i="30"/>
  <c r="G27" i="30"/>
  <c r="G28" i="30"/>
  <c r="G21" i="30"/>
  <c r="G23" i="30"/>
  <c r="G34" i="30"/>
  <c r="G26" i="30"/>
  <c r="G19" i="30"/>
  <c r="G24" i="30"/>
  <c r="G14" i="30"/>
  <c r="G35" i="30"/>
  <c r="G20" i="30"/>
  <c r="G31" i="30"/>
  <c r="G14" i="27"/>
  <c r="G18" i="29"/>
  <c r="G20" i="29"/>
  <c r="G17" i="29"/>
  <c r="G30" i="29"/>
  <c r="G11" i="35"/>
  <c r="G11" i="33"/>
  <c r="G11" i="32"/>
  <c r="G11" i="34"/>
  <c r="G11" i="31"/>
  <c r="G11" i="30"/>
  <c r="G32" i="27"/>
  <c r="G19" i="27"/>
  <c r="G15" i="27"/>
  <c r="G29" i="27"/>
  <c r="G25" i="28"/>
  <c r="G15" i="28"/>
  <c r="G16" i="28"/>
  <c r="G20" i="27"/>
  <c r="G27" i="29"/>
  <c r="G11" i="28"/>
  <c r="I18" i="36" l="1" a="1"/>
  <c r="I18" i="36" s="1"/>
  <c r="I17" i="36" a="1"/>
  <c r="I17" i="36" s="1"/>
  <c r="H16" i="24" a="1"/>
  <c r="H16" i="24" s="1"/>
  <c r="I16" i="36" a="1"/>
  <c r="I16" i="36" s="1"/>
  <c r="H15" i="24" a="1"/>
  <c r="H15" i="24" s="1"/>
  <c r="I15" i="36" a="1"/>
  <c r="I15" i="36" s="1"/>
  <c r="I14" i="36" a="1"/>
  <c r="I14" i="36" s="1"/>
  <c r="H13" i="24" a="1"/>
  <c r="H13" i="24" s="1"/>
  <c r="I13" i="36" a="1"/>
  <c r="I13" i="36" s="1"/>
  <c r="I9" i="36" a="1"/>
  <c r="I9" i="36" s="1"/>
  <c r="H9" i="24" a="1"/>
  <c r="H9" i="24" s="1"/>
  <c r="H18" i="24" a="1"/>
  <c r="H18" i="24" s="1"/>
  <c r="H17" i="24" a="1"/>
  <c r="H17" i="24" s="1"/>
  <c r="H14" i="24" a="1"/>
  <c r="H14" i="24" s="1"/>
  <c r="G18" i="28"/>
  <c r="G31" i="28"/>
  <c r="G22" i="29"/>
  <c r="G17" i="28"/>
  <c r="G27" i="28"/>
  <c r="G23" i="28"/>
  <c r="G28" i="29"/>
  <c r="G31" i="27"/>
  <c r="G24" i="27"/>
  <c r="G32" i="29"/>
  <c r="G20" i="28"/>
  <c r="G22" i="27"/>
  <c r="G29" i="29"/>
  <c r="G28" i="27"/>
  <c r="G34" i="27"/>
  <c r="G34" i="28"/>
  <c r="G22" i="28"/>
  <c r="G30" i="27"/>
  <c r="G35" i="29"/>
  <c r="G27" i="27"/>
  <c r="G28" i="28"/>
  <c r="G19" i="28"/>
  <c r="G24" i="28"/>
  <c r="G33" i="27"/>
  <c r="G23" i="29"/>
  <c r="G26" i="29"/>
  <c r="G32" i="28"/>
  <c r="G19" i="29"/>
  <c r="G33" i="29"/>
  <c r="G25" i="27"/>
  <c r="G26" i="28"/>
  <c r="G21" i="28"/>
  <c r="G30" i="28"/>
  <c r="G14" i="29"/>
  <c r="G24" i="29"/>
  <c r="G21" i="29"/>
  <c r="G26" i="27"/>
  <c r="G14" i="28"/>
  <c r="G33" i="28"/>
  <c r="G18" i="27"/>
  <c r="G23" i="27"/>
  <c r="G35" i="27"/>
  <c r="G29" i="28"/>
  <c r="G21" i="27"/>
  <c r="G35" i="28"/>
  <c r="G31" i="29"/>
  <c r="G34" i="29"/>
  <c r="G17" i="27"/>
  <c r="G12" i="28"/>
  <c r="G11" i="27"/>
  <c r="G12" i="27"/>
  <c r="G13" i="27"/>
  <c r="G13" i="28"/>
  <c r="G12" i="29"/>
  <c r="G11" i="29"/>
  <c r="G13" i="29"/>
  <c r="I11" i="36" l="1" a="1"/>
  <c r="I11" i="36" s="1"/>
  <c r="I12" i="36" a="1"/>
  <c r="I12" i="36" s="1"/>
  <c r="I10" i="36" a="1"/>
  <c r="I10" i="36" s="1"/>
  <c r="H12" i="24" a="1"/>
  <c r="H12" i="24" s="1"/>
  <c r="H11" i="24" a="1"/>
  <c r="H11" i="24" s="1"/>
  <c r="H10" i="24" a="1"/>
  <c r="H10" i="24" s="1"/>
  <c r="A21" i="36" l="1" a="1"/>
  <c r="A21" i="36" s="1"/>
  <c r="A21" i="24" a="1"/>
  <c r="A21" i="24" s="1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2">
    <metadataType name="XLDAPR" minSupportedVersion="120000" copy="1" pasteAll="1" pasteValues="1" merge="1" splitFirst="1" rowColShift="1" clearFormats="1" clearComments="1" assign="1" coerce="1" cellMeta="1"/>
    <metadataType name="XLRICHVALUE" minSupportedVersion="120000" copy="1" pasteAll="1" pasteValues="1" merge="1" splitFirst="1" rowColShift="1" clearFormats="1" clearComments="1" assign="1" coerce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futureMetadata name="XLRICHVALUE" count="5">
    <bk>
      <extLst>
        <ext uri="{3e2802c4-a4d2-4d8b-9148-e3be6c30e623}">
          <xlrd:rvb i="0"/>
        </ext>
      </extLst>
    </bk>
    <bk>
      <extLst>
        <ext uri="{3e2802c4-a4d2-4d8b-9148-e3be6c30e623}">
          <xlrd:rvb i="1"/>
        </ext>
      </extLst>
    </bk>
    <bk>
      <extLst>
        <ext uri="{3e2802c4-a4d2-4d8b-9148-e3be6c30e623}">
          <xlrd:rvb i="2"/>
        </ext>
      </extLst>
    </bk>
    <bk>
      <extLst>
        <ext uri="{3e2802c4-a4d2-4d8b-9148-e3be6c30e623}">
          <xlrd:rvb i="3"/>
        </ext>
      </extLst>
    </bk>
    <bk>
      <extLst>
        <ext uri="{3e2802c4-a4d2-4d8b-9148-e3be6c30e623}">
          <xlrd:rvb i="4"/>
        </ext>
      </extLst>
    </bk>
  </futureMetadata>
  <cellMetadata count="1">
    <bk>
      <rc t="1" v="0"/>
    </bk>
  </cellMetadata>
  <valueMetadata count="5">
    <bk>
      <rc t="2" v="0"/>
    </bk>
    <bk>
      <rc t="2" v="1"/>
    </bk>
    <bk>
      <rc t="2" v="2"/>
    </bk>
    <bk>
      <rc t="2" v="3"/>
    </bk>
    <bk>
      <rc t="2" v="4"/>
    </bk>
  </valueMetadata>
</metadata>
</file>

<file path=xl/sharedStrings.xml><?xml version="1.0" encoding="utf-8"?>
<sst xmlns="http://schemas.openxmlformats.org/spreadsheetml/2006/main" count="675" uniqueCount="124">
  <si>
    <t>Winter Series score sheet</t>
  </si>
  <si>
    <t>Please enter the event title, date, organiser and MA length on the Print All Summary sheet - these will then be used to populate the rest of the worksheets.</t>
  </si>
  <si>
    <t>MA times should be entered in in columns W &amp; Z, with outside or broke adjustements in columns X &amp; AA.  MA scores are calculated automatically using this information combined with the length of the MA on the Print All Summary tab.</t>
  </si>
  <si>
    <r>
      <t xml:space="preserve">Obstacles names may be entered on each tab; if they are the same for all classes then you can copy &amp; paste onto other sheets. Please note that in league classes, the score for each obstacle must be between -5 and +10. If the rider has an error, please enter </t>
    </r>
    <r>
      <rPr>
        <b/>
        <sz val="11"/>
        <color theme="1"/>
        <rFont val="Century Gothic"/>
        <family val="2"/>
        <scheme val="minor"/>
      </rPr>
      <t>E</t>
    </r>
    <r>
      <rPr>
        <sz val="11"/>
        <color theme="1"/>
        <rFont val="Century Gothic"/>
        <family val="2"/>
        <scheme val="minor"/>
      </rPr>
      <t xml:space="preserve"> in the relevant obstacle.</t>
    </r>
  </si>
  <si>
    <t>Please complete and email to Admin - admin@trecgb.com by the WEDNESDAY following your event - many thanks</t>
  </si>
  <si>
    <t>Quality Rosettes TREC GB Winter Series</t>
  </si>
  <si>
    <t>Please complete and email to admin@trecgb.com</t>
  </si>
  <si>
    <t>by the WEDNESDAY following your event - many thanks</t>
  </si>
  <si>
    <t>EVENT TITLE:</t>
  </si>
  <si>
    <t>DATE:</t>
  </si>
  <si>
    <t>ORGANISER:</t>
  </si>
  <si>
    <t>MA LENGTH:</t>
  </si>
  <si>
    <t/>
  </si>
  <si>
    <t>.</t>
  </si>
  <si>
    <t>Quality Rosettes TREC GB Winter Series Class summary</t>
  </si>
  <si>
    <t xml:space="preserve">ORGANISER: </t>
  </si>
  <si>
    <t>CLASS:</t>
  </si>
  <si>
    <t>Open</t>
  </si>
  <si>
    <t>INSURED BY</t>
  </si>
  <si>
    <t>AMOUNT</t>
  </si>
  <si>
    <t>RIDER</t>
  </si>
  <si>
    <t>TREC GB #/ CLUB #</t>
  </si>
  <si>
    <t>JUNIOR MEMBER (Y/N)</t>
  </si>
  <si>
    <t>HORSE
(very important)</t>
  </si>
  <si>
    <t>POSITION</t>
  </si>
  <si>
    <t>GRAND TOTAL</t>
  </si>
  <si>
    <t>MA TOTAL</t>
  </si>
  <si>
    <t>PTV TOTAL</t>
  </si>
  <si>
    <t>Obstacle 1</t>
  </si>
  <si>
    <t>Obstacle 2</t>
  </si>
  <si>
    <t>Obstacle 3</t>
  </si>
  <si>
    <t>Obstacle 4</t>
  </si>
  <si>
    <t>Obstacle 5</t>
  </si>
  <si>
    <t>Obstacle 6</t>
  </si>
  <si>
    <t>Obstacle 7</t>
  </si>
  <si>
    <t>Obstacle 8</t>
  </si>
  <si>
    <t>Obstacle 9</t>
  </si>
  <si>
    <t>Obstacle 10</t>
  </si>
  <si>
    <t>Canter time</t>
  </si>
  <si>
    <t>Outside/Broke (O/B)</t>
  </si>
  <si>
    <t>Total Canter</t>
  </si>
  <si>
    <t>Walk time</t>
  </si>
  <si>
    <t>Outside/Broke (O/B)2</t>
  </si>
  <si>
    <t>Total Walk</t>
  </si>
  <si>
    <t>Open Intermediate</t>
  </si>
  <si>
    <t>PTV
TOTAL</t>
  </si>
  <si>
    <t>Intermediate</t>
  </si>
  <si>
    <t>Novice Horse</t>
  </si>
  <si>
    <t>Newcomers</t>
  </si>
  <si>
    <t>Class 8</t>
  </si>
  <si>
    <t>Class 9</t>
  </si>
  <si>
    <t>Class 10</t>
  </si>
  <si>
    <t>WALK</t>
  </si>
  <si>
    <t>MARK</t>
  </si>
  <si>
    <t>CANTER</t>
  </si>
  <si>
    <t>SECONDS (and 100ths of a sec)</t>
  </si>
  <si>
    <t>Deductions for circling/time faults</t>
  </si>
  <si>
    <t xml:space="preserve">Please send the link to the Competitor Feedback form to all of your competitors.  https://trecgb.com/competitor-feedback-form/ </t>
  </si>
  <si>
    <r>
      <t xml:space="preserve">Enter competitor information on each class sheet, including insurance information in columns A and B, a "Y" for any Juniors in column E. Note that a rider's name is required to calculate a score.
</t>
    </r>
    <r>
      <rPr>
        <b/>
        <sz val="11"/>
        <color theme="1"/>
        <rFont val="Century Gothic"/>
        <family val="2"/>
        <scheme val="minor"/>
      </rPr>
      <t>DO NOT</t>
    </r>
    <r>
      <rPr>
        <sz val="11"/>
        <color theme="1"/>
        <rFont val="Century Gothic"/>
        <family val="2"/>
        <scheme val="minor"/>
      </rPr>
      <t xml:space="preserve"> add extra columns into the class sheets as this breaks the formula to copy the data over to the Summary sheets.</t>
    </r>
  </si>
  <si>
    <r>
      <rPr>
        <b/>
        <sz val="11"/>
        <color theme="1"/>
        <rFont val="Century Gothic"/>
        <family val="2"/>
        <scheme val="minor"/>
      </rPr>
      <t>Do not</t>
    </r>
    <r>
      <rPr>
        <sz val="11"/>
        <color theme="1"/>
        <rFont val="Century Gothic"/>
        <family val="2"/>
        <scheme val="minor"/>
      </rPr>
      <t xml:space="preserve"> un-hide or delete any rows on the Print All Summary sheet. These are required for the scores to be copied over correctly from each class.</t>
    </r>
  </si>
  <si>
    <t>Wessex TREC</t>
  </si>
  <si>
    <t>Avon Riding Centre</t>
  </si>
  <si>
    <t>Charlotte Fleming</t>
  </si>
  <si>
    <t>R26-01690</t>
  </si>
  <si>
    <t>Ross</t>
  </si>
  <si>
    <t>Adele Berkin</t>
  </si>
  <si>
    <t>Justin Dunna Bother</t>
  </si>
  <si>
    <t>Claire Dovey</t>
  </si>
  <si>
    <t>B25-01992</t>
  </si>
  <si>
    <t>Mister Persica Bear</t>
  </si>
  <si>
    <t>Caroline Cowley</t>
  </si>
  <si>
    <t>B25-01985</t>
  </si>
  <si>
    <t>Santa Ana Mist</t>
  </si>
  <si>
    <t>Nadine Pinchin</t>
  </si>
  <si>
    <t>R24-01506</t>
  </si>
  <si>
    <t>Gary</t>
  </si>
  <si>
    <t>Elaine Anderson</t>
  </si>
  <si>
    <t>Charlie</t>
  </si>
  <si>
    <t>Justin Robin Falls</t>
  </si>
  <si>
    <t>Megan Bennett</t>
  </si>
  <si>
    <t>Rio</t>
  </si>
  <si>
    <t>Bird</t>
  </si>
  <si>
    <t>B00102</t>
  </si>
  <si>
    <t>Niki King</t>
  </si>
  <si>
    <t>James Whitmore</t>
  </si>
  <si>
    <t>Cwmenfys Santino</t>
  </si>
  <si>
    <t>Ruth Williams</t>
  </si>
  <si>
    <t>Sir Caster Shadow</t>
  </si>
  <si>
    <t>Izzy France</t>
  </si>
  <si>
    <t>Drumalt Alfey</t>
  </si>
  <si>
    <t>R24-00054</t>
  </si>
  <si>
    <t>Jo Jenkinson</t>
  </si>
  <si>
    <t>B22-00987</t>
  </si>
  <si>
    <t>PollyAnna</t>
  </si>
  <si>
    <t>Debbie Hodder</t>
  </si>
  <si>
    <t>TinTin</t>
  </si>
  <si>
    <t>jo Jenkinson</t>
  </si>
  <si>
    <t>Stella</t>
  </si>
  <si>
    <t>B00210</t>
  </si>
  <si>
    <t>Joanna Messenger</t>
  </si>
  <si>
    <t xml:space="preserve">Nadine Pinchin </t>
  </si>
  <si>
    <t>Sunny (Sundae)</t>
  </si>
  <si>
    <t>B25-01219</t>
  </si>
  <si>
    <t>Anne Warner</t>
  </si>
  <si>
    <t>Helen Brophy</t>
  </si>
  <si>
    <t>B23-00429</t>
  </si>
  <si>
    <t>Emma</t>
  </si>
  <si>
    <t>Ruhmann vom Toster Grund</t>
  </si>
  <si>
    <t>R25-00543</t>
  </si>
  <si>
    <t>Nichola Peace</t>
  </si>
  <si>
    <t>Michelle Bowe</t>
  </si>
  <si>
    <t>B25-01130</t>
  </si>
  <si>
    <t>Flora</t>
  </si>
  <si>
    <t>Becky Eggs</t>
  </si>
  <si>
    <t>R25-01873</t>
  </si>
  <si>
    <t>One Style</t>
  </si>
  <si>
    <t>Overafrica</t>
  </si>
  <si>
    <t>R25-02026</t>
  </si>
  <si>
    <t>Sara Fogg</t>
  </si>
  <si>
    <t>In Hand</t>
  </si>
  <si>
    <t>Starters</t>
  </si>
  <si>
    <t xml:space="preserve"> </t>
  </si>
  <si>
    <t>B</t>
  </si>
  <si>
    <t>Megan Bennet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</si>
</sst>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#;\-#;&quot;&quot;"/>
    <numFmt numFmtId="165" formatCode="dd\-mmm\-yyyy"/>
    <numFmt numFmtId="166" formatCode="#;\-#;General"/>
    <numFmt numFmtId="167" formatCode="#.0;\-#.0;General"/>
  </numFmts>
  <fonts count="27" x14ac:knownFonts="1">
    <font>
      <sz val="11"/>
      <color theme="1"/>
      <name val="Century Gothic"/>
      <family val="2"/>
      <scheme val="minor"/>
    </font>
    <font>
      <b/>
      <sz val="18"/>
      <color indexed="8"/>
      <name val="Calibri"/>
      <family val="2"/>
    </font>
    <font>
      <sz val="11"/>
      <color indexed="10"/>
      <name val="Calibri"/>
      <family val="2"/>
    </font>
    <font>
      <b/>
      <sz val="11"/>
      <color indexed="8"/>
      <name val="Calibri"/>
      <family val="2"/>
    </font>
    <font>
      <sz val="16"/>
      <color indexed="10"/>
      <name val="Calibri"/>
      <family val="2"/>
    </font>
    <font>
      <sz val="16"/>
      <color indexed="8"/>
      <name val="Calibri"/>
      <family val="2"/>
    </font>
    <font>
      <b/>
      <sz val="12"/>
      <color indexed="10"/>
      <name val="Calibri"/>
      <family val="2"/>
    </font>
    <font>
      <sz val="8"/>
      <name val="Calibri"/>
      <family val="2"/>
    </font>
    <font>
      <sz val="11"/>
      <name val="Calibri"/>
      <family val="2"/>
    </font>
    <font>
      <b/>
      <sz val="16"/>
      <color indexed="56"/>
      <name val="Calibri"/>
      <family val="2"/>
    </font>
    <font>
      <sz val="16"/>
      <color indexed="56"/>
      <name val="Calibri"/>
      <family val="2"/>
    </font>
    <font>
      <b/>
      <sz val="24"/>
      <color indexed="8"/>
      <name val="Calibri"/>
      <family val="2"/>
    </font>
    <font>
      <sz val="11"/>
      <color theme="1"/>
      <name val="Century Gothic"/>
      <family val="2"/>
      <scheme val="minor"/>
    </font>
    <font>
      <b/>
      <sz val="11"/>
      <color rgb="FF000000"/>
      <name val="Century Gothic"/>
      <family val="2"/>
      <scheme val="minor"/>
    </font>
    <font>
      <sz val="11"/>
      <color rgb="FF000000"/>
      <name val="Century Gothic"/>
      <family val="2"/>
      <scheme val="minor"/>
    </font>
    <font>
      <sz val="11"/>
      <color theme="1"/>
      <name val="Calibri"/>
      <family val="2"/>
    </font>
    <font>
      <b/>
      <sz val="16"/>
      <color theme="0"/>
      <name val="Calibri"/>
      <family val="2"/>
    </font>
    <font>
      <b/>
      <sz val="14"/>
      <color theme="0"/>
      <name val="Calibri"/>
      <family val="2"/>
    </font>
    <font>
      <b/>
      <i/>
      <sz val="12"/>
      <color indexed="10"/>
      <name val="Calibri"/>
      <family val="2"/>
    </font>
    <font>
      <sz val="16"/>
      <color theme="1"/>
      <name val="Calibri"/>
      <family val="2"/>
    </font>
    <font>
      <strike/>
      <sz val="11"/>
      <color theme="1"/>
      <name val="Century Gothic"/>
      <family val="2"/>
      <scheme val="minor"/>
    </font>
    <font>
      <b/>
      <strike/>
      <sz val="11"/>
      <color indexed="8"/>
      <name val="Calibri"/>
      <family val="2"/>
    </font>
    <font>
      <sz val="16"/>
      <color rgb="FF002060"/>
      <name val="Calibri"/>
      <family val="2"/>
    </font>
    <font>
      <sz val="13"/>
      <color theme="1"/>
      <name val="Calibri"/>
      <family val="2"/>
    </font>
    <font>
      <sz val="11"/>
      <color theme="0"/>
      <name val="Calibri"/>
      <family val="2"/>
    </font>
    <font>
      <b/>
      <sz val="11"/>
      <color theme="1"/>
      <name val="Century Gothic"/>
      <family val="2"/>
      <scheme val="minor"/>
    </font>
    <font>
      <sz val="8"/>
      <name val="Century Gothic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4" tint="0.59999389629810485"/>
        <bgColor indexed="65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EDB3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rgb="FFCCCCCC"/>
      </left>
      <right style="medium">
        <color rgb="FFCCCCCC"/>
      </right>
      <top style="medium">
        <color rgb="FFCCCCCC"/>
      </top>
      <bottom style="medium">
        <color rgb="FFCCCCCC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2" fillId="2" borderId="0" applyNumberFormat="0" applyBorder="0" applyAlignment="0" applyProtection="0"/>
  </cellStyleXfs>
  <cellXfs count="67">
    <xf numFmtId="0" fontId="0" fillId="0" borderId="0" xfId="0"/>
    <xf numFmtId="0" fontId="2" fillId="0" borderId="0" xfId="0" applyFont="1"/>
    <xf numFmtId="0" fontId="3" fillId="0" borderId="0" xfId="0" applyFont="1"/>
    <xf numFmtId="0" fontId="6" fillId="0" borderId="0" xfId="0" applyFont="1"/>
    <xf numFmtId="0" fontId="5" fillId="0" borderId="0" xfId="0" applyFont="1"/>
    <xf numFmtId="0" fontId="4" fillId="0" borderId="0" xfId="0" applyFont="1"/>
    <xf numFmtId="0" fontId="11" fillId="0" borderId="0" xfId="0" applyFont="1"/>
    <xf numFmtId="0" fontId="1" fillId="0" borderId="0" xfId="0" applyFont="1"/>
    <xf numFmtId="0" fontId="0" fillId="0" borderId="3" xfId="0" applyBorder="1" applyAlignment="1">
      <alignment wrapText="1"/>
    </xf>
    <xf numFmtId="0" fontId="13" fillId="0" borderId="3" xfId="0" applyFont="1" applyBorder="1" applyAlignment="1">
      <alignment wrapText="1"/>
    </xf>
    <xf numFmtId="0" fontId="13" fillId="0" borderId="3" xfId="0" applyFont="1" applyBorder="1" applyAlignment="1">
      <alignment vertical="center"/>
    </xf>
    <xf numFmtId="0" fontId="14" fillId="0" borderId="3" xfId="0" applyFont="1" applyBorder="1" applyAlignment="1">
      <alignment wrapText="1"/>
    </xf>
    <xf numFmtId="0" fontId="14" fillId="0" borderId="3" xfId="0" applyFont="1" applyBorder="1" applyAlignment="1">
      <alignment horizontal="right" wrapText="1"/>
    </xf>
    <xf numFmtId="0" fontId="13" fillId="0" borderId="3" xfId="0" applyFont="1" applyBorder="1" applyAlignment="1">
      <alignment horizontal="center" wrapText="1"/>
    </xf>
    <xf numFmtId="0" fontId="15" fillId="0" borderId="0" xfId="0" applyFont="1"/>
    <xf numFmtId="0" fontId="9" fillId="0" borderId="0" xfId="0" applyFont="1"/>
    <xf numFmtId="0" fontId="18" fillId="0" borderId="2" xfId="0" applyFont="1" applyBorder="1" applyAlignment="1">
      <alignment horizontal="center"/>
    </xf>
    <xf numFmtId="0" fontId="15" fillId="0" borderId="1" xfId="0" applyFont="1" applyBorder="1" applyAlignment="1">
      <alignment horizontal="center"/>
    </xf>
    <xf numFmtId="0" fontId="8" fillId="0" borderId="1" xfId="0" applyFont="1" applyBorder="1" applyAlignment="1">
      <alignment horizontal="center"/>
    </xf>
    <xf numFmtId="0" fontId="16" fillId="0" borderId="4" xfId="0" applyFont="1" applyBorder="1" applyAlignment="1">
      <alignment horizontal="center" vertical="center"/>
    </xf>
    <xf numFmtId="0" fontId="16" fillId="0" borderId="4" xfId="0" applyFont="1" applyBorder="1" applyAlignment="1">
      <alignment horizontal="center" vertical="center" wrapText="1"/>
    </xf>
    <xf numFmtId="0" fontId="16" fillId="3" borderId="4" xfId="0" applyFont="1" applyFill="1" applyBorder="1" applyAlignment="1">
      <alignment horizontal="center" vertical="center" wrapText="1"/>
    </xf>
    <xf numFmtId="0" fontId="9" fillId="0" borderId="0" xfId="0" applyFont="1" applyAlignment="1">
      <alignment horizontal="right" indent="1"/>
    </xf>
    <xf numFmtId="0" fontId="18" fillId="0" borderId="0" xfId="0" applyFont="1" applyAlignment="1">
      <alignment wrapText="1"/>
    </xf>
    <xf numFmtId="0" fontId="17" fillId="0" borderId="4" xfId="0" applyFont="1" applyBorder="1" applyAlignment="1">
      <alignment horizontal="center" vertical="center" textRotation="70"/>
    </xf>
    <xf numFmtId="0" fontId="16" fillId="3" borderId="4" xfId="0" applyFont="1" applyFill="1" applyBorder="1" applyAlignment="1">
      <alignment horizontal="center" vertical="center" textRotation="70"/>
    </xf>
    <xf numFmtId="0" fontId="16" fillId="0" borderId="4" xfId="0" applyFont="1" applyBorder="1" applyAlignment="1">
      <alignment horizontal="center" vertical="center" textRotation="160"/>
    </xf>
    <xf numFmtId="0" fontId="16" fillId="3" borderId="4" xfId="0" applyFont="1" applyFill="1" applyBorder="1" applyAlignment="1">
      <alignment horizontal="left" vertical="center" wrapText="1" indent="1"/>
    </xf>
    <xf numFmtId="0" fontId="19" fillId="3" borderId="0" xfId="0" applyFont="1" applyFill="1" applyAlignment="1">
      <alignment horizontal="center" vertical="center"/>
    </xf>
    <xf numFmtId="0" fontId="16" fillId="3" borderId="4" xfId="0" applyFont="1" applyFill="1" applyBorder="1" applyAlignment="1">
      <alignment horizontal="center" vertical="center"/>
    </xf>
    <xf numFmtId="0" fontId="17" fillId="0" borderId="1" xfId="0" applyFont="1" applyBorder="1" applyAlignment="1">
      <alignment horizontal="center" vertical="center" textRotation="160" wrapText="1"/>
    </xf>
    <xf numFmtId="0" fontId="10" fillId="0" borderId="0" xfId="0" applyFont="1"/>
    <xf numFmtId="0" fontId="15" fillId="0" borderId="0" xfId="1" applyFont="1" applyFill="1" applyBorder="1"/>
    <xf numFmtId="0" fontId="15" fillId="0" borderId="0" xfId="1" applyFont="1" applyFill="1"/>
    <xf numFmtId="0" fontId="15" fillId="0" borderId="0" xfId="0" applyFont="1" applyAlignment="1">
      <alignment vertical="center"/>
    </xf>
    <xf numFmtId="0" fontId="15" fillId="0" borderId="0" xfId="0" applyFont="1" applyAlignment="1">
      <alignment horizontal="center"/>
    </xf>
    <xf numFmtId="164" fontId="23" fillId="0" borderId="0" xfId="0" applyNumberFormat="1" applyFont="1" applyAlignment="1">
      <alignment horizontal="left" indent="1"/>
    </xf>
    <xf numFmtId="164" fontId="23" fillId="0" borderId="0" xfId="0" applyNumberFormat="1" applyFont="1" applyAlignment="1">
      <alignment horizontal="center"/>
    </xf>
    <xf numFmtId="164" fontId="23" fillId="0" borderId="0" xfId="0" applyNumberFormat="1" applyFont="1"/>
    <xf numFmtId="0" fontId="24" fillId="0" borderId="0" xfId="0" applyFont="1" applyAlignment="1">
      <alignment vertical="center"/>
    </xf>
    <xf numFmtId="0" fontId="15" fillId="5" borderId="0" xfId="0" applyFont="1" applyFill="1"/>
    <xf numFmtId="166" fontId="23" fillId="0" borderId="0" xfId="0" applyNumberFormat="1" applyFont="1" applyAlignment="1">
      <alignment horizontal="center"/>
    </xf>
    <xf numFmtId="166" fontId="15" fillId="0" borderId="1" xfId="0" applyNumberFormat="1" applyFont="1" applyBorder="1" applyAlignment="1">
      <alignment horizontal="center"/>
    </xf>
    <xf numFmtId="0" fontId="15" fillId="4" borderId="0" xfId="0" applyFont="1" applyFill="1"/>
    <xf numFmtId="0" fontId="1" fillId="4" borderId="0" xfId="0" applyFont="1" applyFill="1"/>
    <xf numFmtId="0" fontId="15" fillId="4" borderId="0" xfId="0" applyFont="1" applyFill="1" applyAlignment="1">
      <alignment horizontal="center"/>
    </xf>
    <xf numFmtId="0" fontId="6" fillId="4" borderId="0" xfId="0" applyFont="1" applyFill="1"/>
    <xf numFmtId="0" fontId="9" fillId="4" borderId="0" xfId="0" applyFont="1" applyFill="1" applyAlignment="1">
      <alignment horizontal="right"/>
    </xf>
    <xf numFmtId="0" fontId="5" fillId="4" borderId="0" xfId="0" applyFont="1" applyFill="1" applyAlignment="1">
      <alignment horizontal="center"/>
    </xf>
    <xf numFmtId="0" fontId="9" fillId="4" borderId="0" xfId="0" applyFont="1" applyFill="1" applyAlignment="1">
      <alignment horizontal="center"/>
    </xf>
    <xf numFmtId="0" fontId="15" fillId="4" borderId="0" xfId="0" quotePrefix="1" applyFont="1" applyFill="1"/>
    <xf numFmtId="0" fontId="15" fillId="4" borderId="0" xfId="0" quotePrefix="1" applyFont="1" applyFill="1" applyAlignment="1">
      <alignment horizontal="center"/>
    </xf>
    <xf numFmtId="167" fontId="8" fillId="0" borderId="1" xfId="0" applyNumberFormat="1" applyFont="1" applyBorder="1" applyAlignment="1">
      <alignment horizontal="center"/>
    </xf>
    <xf numFmtId="167" fontId="23" fillId="0" borderId="0" xfId="0" applyNumberFormat="1" applyFont="1" applyAlignment="1">
      <alignment horizontal="center"/>
    </xf>
    <xf numFmtId="0" fontId="6" fillId="0" borderId="0" xfId="0" applyFont="1" applyAlignment="1">
      <alignment vertical="top"/>
    </xf>
    <xf numFmtId="0" fontId="0" fillId="0" borderId="0" xfId="0" applyAlignment="1">
      <alignment vertical="top"/>
    </xf>
    <xf numFmtId="0" fontId="20" fillId="0" borderId="0" xfId="0" applyFont="1" applyAlignment="1">
      <alignment vertical="top" wrapText="1"/>
    </xf>
    <xf numFmtId="0" fontId="21" fillId="0" borderId="0" xfId="0" applyFont="1" applyAlignment="1">
      <alignment vertical="top" wrapText="1"/>
    </xf>
    <xf numFmtId="0" fontId="0" fillId="0" borderId="0" xfId="0" applyAlignment="1">
      <alignment vertical="top" wrapText="1"/>
    </xf>
    <xf numFmtId="0" fontId="0" fillId="0" borderId="0" xfId="0" applyAlignment="1">
      <alignment horizontal="left" vertical="top" wrapText="1"/>
    </xf>
    <xf numFmtId="165" fontId="10" fillId="4" borderId="0" xfId="0" applyNumberFormat="1" applyFont="1" applyFill="1" applyAlignment="1">
      <alignment horizontal="left" indent="1"/>
    </xf>
    <xf numFmtId="0" fontId="10" fillId="4" borderId="0" xfId="0" applyFont="1" applyFill="1" applyAlignment="1">
      <alignment horizontal="left" indent="1"/>
    </xf>
    <xf numFmtId="0" fontId="22" fillId="4" borderId="0" xfId="0" applyFont="1" applyFill="1" applyAlignment="1">
      <alignment horizontal="left" indent="3"/>
    </xf>
    <xf numFmtId="0" fontId="9" fillId="0" borderId="2" xfId="0" applyFont="1" applyBorder="1" applyAlignment="1">
      <alignment horizontal="left" indent="1"/>
    </xf>
    <xf numFmtId="0" fontId="9" fillId="0" borderId="5" xfId="0" applyFont="1" applyBorder="1" applyAlignment="1">
      <alignment horizontal="left" indent="1"/>
    </xf>
    <xf numFmtId="165" fontId="9" fillId="0" borderId="2" xfId="0" applyNumberFormat="1" applyFont="1" applyBorder="1" applyAlignment="1">
      <alignment horizontal="left" indent="1"/>
    </xf>
    <xf numFmtId="0" fontId="9" fillId="0" borderId="0" xfId="0" applyFont="1" applyAlignment="1">
      <alignment horizontal="left" indent="1"/>
    </xf>
  </cellXfs>
  <cellStyles count="2">
    <cellStyle name="40% - Accent1" xfId="1" builtinId="31"/>
    <cellStyle name="Normal" xfId="0" builtinId="0"/>
  </cellStyles>
  <dxfs count="317">
    <dxf>
      <font>
        <color theme="1"/>
      </font>
      <fill>
        <patternFill patternType="solid">
          <fgColor rgb="FFFF99CC"/>
          <bgColor rgb="FFFFEDB3"/>
        </patternFill>
      </fill>
    </dxf>
    <dxf>
      <font>
        <color theme="1"/>
      </font>
      <fill>
        <patternFill patternType="solid">
          <fgColor rgb="FFFF99CC"/>
          <bgColor rgb="FFFFEDB3"/>
        </patternFill>
      </fill>
    </dxf>
    <dxf>
      <font>
        <color theme="1"/>
      </font>
      <fill>
        <patternFill patternType="solid">
          <fgColor rgb="FFFF99CC"/>
          <bgColor rgb="FFFFEDB3"/>
        </patternFill>
      </fill>
    </dxf>
    <dxf>
      <font>
        <color theme="1"/>
      </font>
      <fill>
        <patternFill patternType="solid">
          <fgColor rgb="FFFF99CC"/>
          <bgColor rgb="FFFFEDB3"/>
        </patternFill>
      </fill>
    </dxf>
    <dxf>
      <font>
        <color theme="1"/>
      </font>
      <fill>
        <patternFill patternType="solid">
          <fgColor rgb="FFFF99CC"/>
          <bgColor rgb="FFFFEDB3"/>
        </patternFill>
      </fill>
    </dxf>
    <dxf>
      <font>
        <color theme="1"/>
      </font>
      <fill>
        <patternFill patternType="solid">
          <fgColor rgb="FFFF99CC"/>
          <bgColor rgb="FFFFEDB3"/>
        </patternFill>
      </fill>
    </dxf>
    <dxf>
      <font>
        <color theme="1"/>
      </font>
      <fill>
        <patternFill patternType="solid">
          <fgColor rgb="FFFF99CC"/>
          <bgColor rgb="FFFFEDB3"/>
        </patternFill>
      </fill>
    </dxf>
    <dxf>
      <font>
        <color theme="1"/>
      </font>
      <fill>
        <patternFill patternType="solid">
          <fgColor rgb="FFFF99CC"/>
          <bgColor rgb="FFFFEDB3"/>
        </patternFill>
      </fill>
    </dxf>
    <dxf>
      <font>
        <color theme="1"/>
      </font>
      <fill>
        <patternFill patternType="solid">
          <fgColor rgb="FFFF99CC"/>
          <bgColor rgb="FFFFEDB3"/>
        </patternFill>
      </fill>
    </dxf>
    <dxf>
      <font>
        <color theme="1"/>
      </font>
      <fill>
        <patternFill patternType="solid">
          <fgColor rgb="FFFF99CC"/>
          <bgColor rgb="FFFFEDB3"/>
        </patternFill>
      </fill>
    </dxf>
    <dxf>
      <fill>
        <patternFill>
          <bgColor theme="6" tint="0.79998168889431442"/>
        </patternFill>
      </fill>
    </dxf>
    <dxf>
      <font>
        <strike val="0"/>
        <color theme="1"/>
      </font>
      <fill>
        <patternFill>
          <bgColor theme="0"/>
        </patternFill>
      </fill>
    </dxf>
    <dxf>
      <font>
        <b/>
        <i val="0"/>
        <strike val="0"/>
        <color theme="0"/>
      </font>
      <fill>
        <patternFill>
          <bgColor rgb="FF002060"/>
        </patternFill>
      </fill>
    </dxf>
    <dxf>
      <font>
        <b/>
        <i val="0"/>
        <strike val="0"/>
        <color theme="0"/>
      </font>
      <fill>
        <patternFill>
          <bgColor rgb="FF002060"/>
        </patternFill>
      </fill>
    </dxf>
    <dxf>
      <fill>
        <patternFill>
          <bgColor theme="6" tint="0.79998168889431442"/>
        </patternFill>
      </fill>
    </dxf>
    <dxf>
      <font>
        <strike val="0"/>
        <color theme="1"/>
      </font>
      <fill>
        <patternFill>
          <bgColor theme="0"/>
        </patternFill>
      </fill>
    </dxf>
    <dxf>
      <font>
        <b/>
        <i val="0"/>
        <strike val="0"/>
        <color theme="0"/>
      </font>
      <fill>
        <patternFill>
          <bgColor rgb="FF002060"/>
        </patternFill>
      </fill>
    </dxf>
    <dxf>
      <font>
        <b/>
        <i val="0"/>
        <strike val="0"/>
        <color theme="0"/>
      </font>
      <fill>
        <patternFill>
          <bgColor rgb="FF002060"/>
        </patternFill>
      </fill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10"/>
        <name val="Calibri"/>
        <family val="2"/>
        <scheme val="none"/>
      </font>
      <numFmt numFmtId="0" formatCode="General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10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10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10"/>
        <name val="Calibri"/>
        <family val="2"/>
        <scheme val="none"/>
      </font>
      <numFmt numFmtId="0" formatCode="General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numFmt numFmtId="166" formatCode="#;\-#;General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10"/>
        <name val="Calibri"/>
        <family val="2"/>
        <scheme val="none"/>
      </font>
      <numFmt numFmtId="167" formatCode="#.0;\-#.0;General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color indexed="10"/>
        <name val="Calibri"/>
        <family val="2"/>
        <scheme val="none"/>
      </font>
      <numFmt numFmtId="167" formatCode="#.0;\-#.0;General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numFmt numFmtId="166" formatCode="#;\-#;General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0"/>
        <name val="Calibri"/>
        <family val="2"/>
        <scheme val="none"/>
      </font>
      <alignment horizontal="general" vertical="center" textRotation="45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10"/>
        <name val="Calibri"/>
        <family val="2"/>
        <scheme val="none"/>
      </font>
      <numFmt numFmtId="0" formatCode="General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10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10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10"/>
        <name val="Calibri"/>
        <family val="2"/>
        <scheme val="none"/>
      </font>
      <numFmt numFmtId="0" formatCode="General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numFmt numFmtId="166" formatCode="#;\-#;General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10"/>
        <name val="Calibri"/>
        <family val="2"/>
        <scheme val="none"/>
      </font>
      <numFmt numFmtId="167" formatCode="#.0;\-#.0;General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color indexed="10"/>
        <name val="Calibri"/>
        <family val="2"/>
        <scheme val="none"/>
      </font>
      <numFmt numFmtId="167" formatCode="#.0;\-#.0;General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numFmt numFmtId="166" formatCode="#;\-#;General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0"/>
        <name val="Calibri"/>
        <family val="2"/>
        <scheme val="none"/>
      </font>
      <alignment horizontal="general" vertical="center" textRotation="45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10"/>
        <name val="Calibri"/>
        <family val="2"/>
        <scheme val="none"/>
      </font>
      <numFmt numFmtId="0" formatCode="General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10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10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10"/>
        <name val="Calibri"/>
        <family val="2"/>
        <scheme val="none"/>
      </font>
      <numFmt numFmtId="0" formatCode="General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numFmt numFmtId="166" formatCode="#;\-#;General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10"/>
        <name val="Calibri"/>
        <family val="2"/>
        <scheme val="none"/>
      </font>
      <numFmt numFmtId="167" formatCode="#.0;\-#.0;General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color indexed="10"/>
        <name val="Calibri"/>
        <family val="2"/>
        <scheme val="none"/>
      </font>
      <numFmt numFmtId="167" formatCode="#.0;\-#.0;General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numFmt numFmtId="166" formatCode="#;\-#;General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0"/>
        <name val="Calibri"/>
        <family val="2"/>
        <scheme val="none"/>
      </font>
      <alignment horizontal="general" vertical="center" textRotation="45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10"/>
        <name val="Calibri"/>
        <family val="2"/>
        <scheme val="none"/>
      </font>
      <numFmt numFmtId="0" formatCode="General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10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10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10"/>
        <name val="Calibri"/>
        <family val="2"/>
        <scheme val="none"/>
      </font>
      <numFmt numFmtId="0" formatCode="General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numFmt numFmtId="166" formatCode="#;\-#;General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10"/>
        <name val="Calibri"/>
        <family val="2"/>
        <scheme val="none"/>
      </font>
      <numFmt numFmtId="167" formatCode="#.0;\-#.0;General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color indexed="10"/>
        <name val="Calibri"/>
        <family val="2"/>
        <scheme val="none"/>
      </font>
      <numFmt numFmtId="167" formatCode="#.0;\-#.0;General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numFmt numFmtId="166" formatCode="#;\-#;General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0"/>
        <name val="Calibri"/>
        <family val="2"/>
        <scheme val="none"/>
      </font>
      <alignment horizontal="general" vertical="center" textRotation="45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10"/>
        <name val="Calibri"/>
        <family val="2"/>
        <scheme val="none"/>
      </font>
      <numFmt numFmtId="0" formatCode="General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10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10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10"/>
        <name val="Calibri"/>
        <family val="2"/>
        <scheme val="none"/>
      </font>
      <numFmt numFmtId="0" formatCode="General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numFmt numFmtId="166" formatCode="#;\-#;General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10"/>
        <name val="Calibri"/>
        <family val="2"/>
        <scheme val="none"/>
      </font>
      <numFmt numFmtId="167" formatCode="#.0;\-#.0;General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color indexed="10"/>
        <name val="Calibri"/>
        <family val="2"/>
        <scheme val="none"/>
      </font>
      <numFmt numFmtId="167" formatCode="#.0;\-#.0;General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numFmt numFmtId="0" formatCode="General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0"/>
        <name val="Calibri"/>
        <family val="2"/>
        <scheme val="none"/>
      </font>
      <alignment horizontal="general" vertical="center" textRotation="45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10"/>
        <name val="Calibri"/>
        <family val="2"/>
        <scheme val="none"/>
      </font>
      <numFmt numFmtId="0" formatCode="General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10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10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10"/>
        <name val="Calibri"/>
        <family val="2"/>
        <scheme val="none"/>
      </font>
      <numFmt numFmtId="0" formatCode="General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numFmt numFmtId="166" formatCode="#;\-#;General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10"/>
        <name val="Calibri"/>
        <family val="2"/>
        <scheme val="none"/>
      </font>
      <numFmt numFmtId="167" formatCode="#.0;\-#.0;General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color indexed="10"/>
        <name val="Calibri"/>
        <family val="2"/>
        <scheme val="none"/>
      </font>
      <numFmt numFmtId="167" formatCode="#.0;\-#.0;General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numFmt numFmtId="0" formatCode="General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0"/>
        <name val="Calibri"/>
        <family val="2"/>
        <scheme val="none"/>
      </font>
      <alignment horizontal="general" vertical="center" textRotation="45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10"/>
        <name val="Calibri"/>
        <family val="2"/>
        <scheme val="none"/>
      </font>
      <numFmt numFmtId="0" formatCode="General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10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10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10"/>
        <name val="Calibri"/>
        <family val="2"/>
        <scheme val="none"/>
      </font>
      <numFmt numFmtId="0" formatCode="General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numFmt numFmtId="166" formatCode="#;\-#;General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10"/>
        <name val="Calibri"/>
        <family val="2"/>
        <scheme val="none"/>
      </font>
      <numFmt numFmtId="167" formatCode="#.0;\-#.0;General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color indexed="10"/>
        <name val="Calibri"/>
        <family val="2"/>
        <scheme val="none"/>
      </font>
      <numFmt numFmtId="167" formatCode="#.0;\-#.0;General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numFmt numFmtId="0" formatCode="General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0"/>
        <name val="Calibri"/>
        <family val="2"/>
        <scheme val="none"/>
      </font>
      <alignment horizontal="general" vertical="center" textRotation="45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10"/>
        <name val="Calibri"/>
        <family val="2"/>
        <scheme val="none"/>
      </font>
      <numFmt numFmtId="0" formatCode="General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10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10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10"/>
        <name val="Calibri"/>
        <family val="2"/>
        <scheme val="none"/>
      </font>
      <numFmt numFmtId="0" formatCode="General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numFmt numFmtId="166" formatCode="#;\-#;General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10"/>
        <name val="Calibri"/>
        <family val="2"/>
        <scheme val="none"/>
      </font>
      <numFmt numFmtId="167" formatCode="#.0;\-#.0;General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color indexed="10"/>
        <name val="Calibri"/>
        <family val="2"/>
        <scheme val="none"/>
      </font>
      <numFmt numFmtId="167" formatCode="#.0;\-#.0;General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numFmt numFmtId="0" formatCode="General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0"/>
        <name val="Calibri"/>
        <family val="2"/>
        <scheme val="none"/>
      </font>
      <alignment horizontal="general" vertical="center" textRotation="45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10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10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10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10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numFmt numFmtId="166" formatCode="#;\-#;General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10"/>
        <name val="Calibri"/>
        <family val="2"/>
        <scheme val="none"/>
      </font>
      <numFmt numFmtId="167" formatCode="#.0;\-#.0;General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color indexed="10"/>
        <name val="Calibri"/>
        <family val="2"/>
        <scheme val="none"/>
      </font>
      <numFmt numFmtId="167" formatCode="#.0;\-#.0;General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numFmt numFmtId="0" formatCode="General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0"/>
        <name val="Calibri"/>
        <family val="2"/>
        <scheme val="none"/>
      </font>
      <alignment horizontal="general" vertical="center" textRotation="45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10"/>
        <name val="Calibri"/>
        <family val="2"/>
        <scheme val="none"/>
      </font>
      <numFmt numFmtId="0" formatCode="General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10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10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10"/>
        <name val="Calibri"/>
        <family val="2"/>
        <scheme val="none"/>
      </font>
      <numFmt numFmtId="0" formatCode="General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numFmt numFmtId="166" formatCode="#;\-#;General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10"/>
        <name val="Calibri"/>
        <family val="2"/>
        <scheme val="none"/>
      </font>
      <numFmt numFmtId="167" formatCode="#.0;\-#.0;General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color indexed="10"/>
        <name val="Calibri"/>
        <family val="2"/>
        <scheme val="none"/>
      </font>
      <numFmt numFmtId="167" formatCode="#.0;\-#.0;General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0" formatCode="General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0"/>
        <name val="Calibri"/>
        <family val="2"/>
        <scheme val="none"/>
      </font>
      <alignment horizontal="general" vertical="center" textRotation="45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</dxfs>
  <tableStyles count="0" defaultTableStyle="TableStyleMedium2" defaultPivotStyle="PivotStyleLight16"/>
  <colors>
    <mruColors>
      <color rgb="FFFFEDB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eetMetadata" Target="metadata.xml"/><Relationship Id="rId3" Type="http://schemas.openxmlformats.org/officeDocument/2006/relationships/worksheet" Target="worksheets/sheet3.xml"/><Relationship Id="rId21" Type="http://schemas.microsoft.com/office/2017/06/relationships/rdRichValueTypes" Target="richData/rdRichValueTyp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20" Type="http://schemas.microsoft.com/office/2017/06/relationships/rdRichValueStructure" Target="richData/rdrichvaluestructure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microsoft.com/office/2017/06/relationships/rdRichValue" Target="richData/rdrichvalue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jpe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jpe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jpe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jpe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jpe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jpe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jpe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jpe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jpe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68580</xdr:colOff>
      <xdr:row>0</xdr:row>
      <xdr:rowOff>0</xdr:rowOff>
    </xdr:from>
    <xdr:to>
      <xdr:col>0</xdr:col>
      <xdr:colOff>998220</xdr:colOff>
      <xdr:row>4</xdr:row>
      <xdr:rowOff>19050</xdr:rowOff>
    </xdr:to>
    <xdr:pic>
      <xdr:nvPicPr>
        <xdr:cNvPr id="11325" name="Picture 3" descr="TREC GB logo">
          <a:extLst>
            <a:ext uri="{FF2B5EF4-FFF2-40B4-BE49-F238E27FC236}">
              <a16:creationId xmlns:a16="http://schemas.microsoft.com/office/drawing/2014/main" id="{E4741EBC-37D0-C467-20F8-43721EB40B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" y="0"/>
          <a:ext cx="929640" cy="8991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784860</xdr:colOff>
      <xdr:row>0</xdr:row>
      <xdr:rowOff>51435</xdr:rowOff>
    </xdr:from>
    <xdr:to>
      <xdr:col>7</xdr:col>
      <xdr:colOff>7620</xdr:colOff>
      <xdr:row>2</xdr:row>
      <xdr:rowOff>74295</xdr:rowOff>
    </xdr:to>
    <xdr:pic>
      <xdr:nvPicPr>
        <xdr:cNvPr id="11326" name="Picture 1">
          <a:extLst>
            <a:ext uri="{FF2B5EF4-FFF2-40B4-BE49-F238E27FC236}">
              <a16:creationId xmlns:a16="http://schemas.microsoft.com/office/drawing/2014/main" id="{E514172A-9BC2-D624-E7C4-13A55A2FBE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52385" y="51435"/>
          <a:ext cx="2823210" cy="4991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24</xdr:col>
      <xdr:colOff>561340</xdr:colOff>
      <xdr:row>1</xdr:row>
      <xdr:rowOff>81280</xdr:rowOff>
    </xdr:from>
    <xdr:to>
      <xdr:col>26</xdr:col>
      <xdr:colOff>289560</xdr:colOff>
      <xdr:row>5</xdr:row>
      <xdr:rowOff>116840</xdr:rowOff>
    </xdr:to>
    <xdr:pic>
      <xdr:nvPicPr>
        <xdr:cNvPr id="2" name="Picture 4" descr="TREC GB logo">
          <a:extLst>
            <a:ext uri="{FF2B5EF4-FFF2-40B4-BE49-F238E27FC236}">
              <a16:creationId xmlns:a16="http://schemas.microsoft.com/office/drawing/2014/main" id="{F02F2380-7313-435C-9869-228369F782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30440" y="119380"/>
          <a:ext cx="924560" cy="896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132080</xdr:colOff>
      <xdr:row>0</xdr:row>
      <xdr:rowOff>2540</xdr:rowOff>
    </xdr:from>
    <xdr:to>
      <xdr:col>4</xdr:col>
      <xdr:colOff>350520</xdr:colOff>
      <xdr:row>2</xdr:row>
      <xdr:rowOff>180340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954F66B0-F779-4990-A581-08D6ABDDD8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7620" y="2540"/>
          <a:ext cx="2885440" cy="513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24</xdr:col>
      <xdr:colOff>561340</xdr:colOff>
      <xdr:row>1</xdr:row>
      <xdr:rowOff>81280</xdr:rowOff>
    </xdr:from>
    <xdr:to>
      <xdr:col>26</xdr:col>
      <xdr:colOff>289560</xdr:colOff>
      <xdr:row>5</xdr:row>
      <xdr:rowOff>116840</xdr:rowOff>
    </xdr:to>
    <xdr:pic>
      <xdr:nvPicPr>
        <xdr:cNvPr id="2" name="Picture 4" descr="TREC GB logo">
          <a:extLst>
            <a:ext uri="{FF2B5EF4-FFF2-40B4-BE49-F238E27FC236}">
              <a16:creationId xmlns:a16="http://schemas.microsoft.com/office/drawing/2014/main" id="{ADCF1AF0-3479-4651-B4CF-FD08E5783B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30440" y="119380"/>
          <a:ext cx="924560" cy="896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132080</xdr:colOff>
      <xdr:row>0</xdr:row>
      <xdr:rowOff>2540</xdr:rowOff>
    </xdr:from>
    <xdr:to>
      <xdr:col>4</xdr:col>
      <xdr:colOff>350520</xdr:colOff>
      <xdr:row>2</xdr:row>
      <xdr:rowOff>180340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E6DF1B72-A3D1-4BC9-890D-C9D409055E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7620" y="2540"/>
          <a:ext cx="2885440" cy="513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24</xdr:col>
      <xdr:colOff>561340</xdr:colOff>
      <xdr:row>1</xdr:row>
      <xdr:rowOff>81280</xdr:rowOff>
    </xdr:from>
    <xdr:to>
      <xdr:col>26</xdr:col>
      <xdr:colOff>289560</xdr:colOff>
      <xdr:row>5</xdr:row>
      <xdr:rowOff>116840</xdr:rowOff>
    </xdr:to>
    <xdr:pic>
      <xdr:nvPicPr>
        <xdr:cNvPr id="2" name="Picture 4" descr="TREC GB logo">
          <a:extLst>
            <a:ext uri="{FF2B5EF4-FFF2-40B4-BE49-F238E27FC236}">
              <a16:creationId xmlns:a16="http://schemas.microsoft.com/office/drawing/2014/main" id="{1EB164E4-ED11-48CC-894D-44D277DDBA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30440" y="119380"/>
          <a:ext cx="924560" cy="896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132080</xdr:colOff>
      <xdr:row>0</xdr:row>
      <xdr:rowOff>2540</xdr:rowOff>
    </xdr:from>
    <xdr:to>
      <xdr:col>4</xdr:col>
      <xdr:colOff>350520</xdr:colOff>
      <xdr:row>2</xdr:row>
      <xdr:rowOff>180340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D20D6A4-0B00-40A2-89BE-CC64264AB2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7620" y="2540"/>
          <a:ext cx="2885440" cy="513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68580</xdr:colOff>
      <xdr:row>0</xdr:row>
      <xdr:rowOff>0</xdr:rowOff>
    </xdr:from>
    <xdr:to>
      <xdr:col>0</xdr:col>
      <xdr:colOff>998220</xdr:colOff>
      <xdr:row>4</xdr:row>
      <xdr:rowOff>19050</xdr:rowOff>
    </xdr:to>
    <xdr:pic>
      <xdr:nvPicPr>
        <xdr:cNvPr id="2" name="Picture 3" descr="TREC GB logo">
          <a:extLst>
            <a:ext uri="{FF2B5EF4-FFF2-40B4-BE49-F238E27FC236}">
              <a16:creationId xmlns:a16="http://schemas.microsoft.com/office/drawing/2014/main" id="{442A6EAF-9FB9-46AB-99E9-BE7F63DFD9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" y="0"/>
          <a:ext cx="929640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784860</xdr:colOff>
      <xdr:row>0</xdr:row>
      <xdr:rowOff>51435</xdr:rowOff>
    </xdr:from>
    <xdr:to>
      <xdr:col>8</xdr:col>
      <xdr:colOff>0</xdr:colOff>
      <xdr:row>2</xdr:row>
      <xdr:rowOff>74295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CE13F079-F042-4A59-BC82-23B8CBB7F4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68540" y="51435"/>
          <a:ext cx="2834640" cy="5029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24</xdr:col>
      <xdr:colOff>561340</xdr:colOff>
      <xdr:row>1</xdr:row>
      <xdr:rowOff>81280</xdr:rowOff>
    </xdr:from>
    <xdr:to>
      <xdr:col>27</xdr:col>
      <xdr:colOff>78740</xdr:colOff>
      <xdr:row>5</xdr:row>
      <xdr:rowOff>116840</xdr:rowOff>
    </xdr:to>
    <xdr:pic>
      <xdr:nvPicPr>
        <xdr:cNvPr id="1109" name="Picture 4" descr="TREC GB logo">
          <a:extLst>
            <a:ext uri="{FF2B5EF4-FFF2-40B4-BE49-F238E27FC236}">
              <a16:creationId xmlns:a16="http://schemas.microsoft.com/office/drawing/2014/main" id="{CAB26503-D190-1D3C-957C-B08848041A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73340" y="121920"/>
          <a:ext cx="927100" cy="8991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132080</xdr:colOff>
      <xdr:row>0</xdr:row>
      <xdr:rowOff>2540</xdr:rowOff>
    </xdr:from>
    <xdr:to>
      <xdr:col>4</xdr:col>
      <xdr:colOff>350520</xdr:colOff>
      <xdr:row>2</xdr:row>
      <xdr:rowOff>180340</xdr:rowOff>
    </xdr:to>
    <xdr:pic>
      <xdr:nvPicPr>
        <xdr:cNvPr id="1110" name="Picture 1">
          <a:extLst>
            <a:ext uri="{FF2B5EF4-FFF2-40B4-BE49-F238E27FC236}">
              <a16:creationId xmlns:a16="http://schemas.microsoft.com/office/drawing/2014/main" id="{8B0C6304-A6CC-AB87-FD59-182B811869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43200" y="2540"/>
          <a:ext cx="2890520" cy="513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24</xdr:col>
      <xdr:colOff>561340</xdr:colOff>
      <xdr:row>1</xdr:row>
      <xdr:rowOff>81280</xdr:rowOff>
    </xdr:from>
    <xdr:to>
      <xdr:col>26</xdr:col>
      <xdr:colOff>285750</xdr:colOff>
      <xdr:row>5</xdr:row>
      <xdr:rowOff>116840</xdr:rowOff>
    </xdr:to>
    <xdr:pic>
      <xdr:nvPicPr>
        <xdr:cNvPr id="2" name="Picture 4" descr="TREC GB logo">
          <a:extLst>
            <a:ext uri="{FF2B5EF4-FFF2-40B4-BE49-F238E27FC236}">
              <a16:creationId xmlns:a16="http://schemas.microsoft.com/office/drawing/2014/main" id="{86028B1D-0D42-432A-B0B7-E0CE22B38E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58100" y="119380"/>
          <a:ext cx="924560" cy="896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132080</xdr:colOff>
      <xdr:row>0</xdr:row>
      <xdr:rowOff>2540</xdr:rowOff>
    </xdr:from>
    <xdr:to>
      <xdr:col>4</xdr:col>
      <xdr:colOff>358140</xdr:colOff>
      <xdr:row>2</xdr:row>
      <xdr:rowOff>170815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9A041B45-8C59-418A-8A0F-C54B08F097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7620" y="2540"/>
          <a:ext cx="2885440" cy="513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24</xdr:col>
      <xdr:colOff>561340</xdr:colOff>
      <xdr:row>1</xdr:row>
      <xdr:rowOff>81280</xdr:rowOff>
    </xdr:from>
    <xdr:to>
      <xdr:col>26</xdr:col>
      <xdr:colOff>289560</xdr:colOff>
      <xdr:row>5</xdr:row>
      <xdr:rowOff>116840</xdr:rowOff>
    </xdr:to>
    <xdr:pic>
      <xdr:nvPicPr>
        <xdr:cNvPr id="2" name="Picture 4" descr="TREC GB logo">
          <a:extLst>
            <a:ext uri="{FF2B5EF4-FFF2-40B4-BE49-F238E27FC236}">
              <a16:creationId xmlns:a16="http://schemas.microsoft.com/office/drawing/2014/main" id="{91EE6652-79EB-4B16-9F29-4270E11CC8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58100" y="119380"/>
          <a:ext cx="924560" cy="896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132080</xdr:colOff>
      <xdr:row>0</xdr:row>
      <xdr:rowOff>2540</xdr:rowOff>
    </xdr:from>
    <xdr:to>
      <xdr:col>4</xdr:col>
      <xdr:colOff>350520</xdr:colOff>
      <xdr:row>2</xdr:row>
      <xdr:rowOff>180340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FBB1DEB4-30E8-410E-8A51-110C32F169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7620" y="2540"/>
          <a:ext cx="2885440" cy="513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24</xdr:col>
      <xdr:colOff>561340</xdr:colOff>
      <xdr:row>1</xdr:row>
      <xdr:rowOff>81280</xdr:rowOff>
    </xdr:from>
    <xdr:to>
      <xdr:col>26</xdr:col>
      <xdr:colOff>289560</xdr:colOff>
      <xdr:row>5</xdr:row>
      <xdr:rowOff>116840</xdr:rowOff>
    </xdr:to>
    <xdr:pic>
      <xdr:nvPicPr>
        <xdr:cNvPr id="2" name="Picture 4" descr="TREC GB logo">
          <a:extLst>
            <a:ext uri="{FF2B5EF4-FFF2-40B4-BE49-F238E27FC236}">
              <a16:creationId xmlns:a16="http://schemas.microsoft.com/office/drawing/2014/main" id="{2A2E86C5-6F4F-4728-9812-F78962B2D8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58100" y="119380"/>
          <a:ext cx="924560" cy="896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132080</xdr:colOff>
      <xdr:row>0</xdr:row>
      <xdr:rowOff>2540</xdr:rowOff>
    </xdr:from>
    <xdr:to>
      <xdr:col>4</xdr:col>
      <xdr:colOff>350520</xdr:colOff>
      <xdr:row>2</xdr:row>
      <xdr:rowOff>180340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FE402A3-8149-4A97-BFD2-85585EDC99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7620" y="2540"/>
          <a:ext cx="2885440" cy="513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24</xdr:col>
      <xdr:colOff>561340</xdr:colOff>
      <xdr:row>1</xdr:row>
      <xdr:rowOff>81280</xdr:rowOff>
    </xdr:from>
    <xdr:to>
      <xdr:col>26</xdr:col>
      <xdr:colOff>289560</xdr:colOff>
      <xdr:row>5</xdr:row>
      <xdr:rowOff>116840</xdr:rowOff>
    </xdr:to>
    <xdr:pic>
      <xdr:nvPicPr>
        <xdr:cNvPr id="2" name="Picture 4" descr="TREC GB logo">
          <a:extLst>
            <a:ext uri="{FF2B5EF4-FFF2-40B4-BE49-F238E27FC236}">
              <a16:creationId xmlns:a16="http://schemas.microsoft.com/office/drawing/2014/main" id="{4AA443AD-72BE-4EE8-8B00-EB47EF42F5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30440" y="119380"/>
          <a:ext cx="924560" cy="896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132080</xdr:colOff>
      <xdr:row>0</xdr:row>
      <xdr:rowOff>2540</xdr:rowOff>
    </xdr:from>
    <xdr:to>
      <xdr:col>4</xdr:col>
      <xdr:colOff>350520</xdr:colOff>
      <xdr:row>2</xdr:row>
      <xdr:rowOff>180340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640A051-5D1C-4759-A618-14906B3F52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7620" y="2540"/>
          <a:ext cx="2885440" cy="513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24</xdr:col>
      <xdr:colOff>561340</xdr:colOff>
      <xdr:row>1</xdr:row>
      <xdr:rowOff>81280</xdr:rowOff>
    </xdr:from>
    <xdr:to>
      <xdr:col>26</xdr:col>
      <xdr:colOff>289560</xdr:colOff>
      <xdr:row>5</xdr:row>
      <xdr:rowOff>116840</xdr:rowOff>
    </xdr:to>
    <xdr:pic>
      <xdr:nvPicPr>
        <xdr:cNvPr id="2" name="Picture 4" descr="TREC GB logo">
          <a:extLst>
            <a:ext uri="{FF2B5EF4-FFF2-40B4-BE49-F238E27FC236}">
              <a16:creationId xmlns:a16="http://schemas.microsoft.com/office/drawing/2014/main" id="{2088E44B-6289-4671-8417-730C9C2738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30440" y="119380"/>
          <a:ext cx="924560" cy="896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132080</xdr:colOff>
      <xdr:row>0</xdr:row>
      <xdr:rowOff>2540</xdr:rowOff>
    </xdr:from>
    <xdr:to>
      <xdr:col>4</xdr:col>
      <xdr:colOff>350520</xdr:colOff>
      <xdr:row>2</xdr:row>
      <xdr:rowOff>180340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9698FCDB-F827-476A-B664-A5F56E9900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7620" y="2540"/>
          <a:ext cx="2885440" cy="513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24</xdr:col>
      <xdr:colOff>561340</xdr:colOff>
      <xdr:row>1</xdr:row>
      <xdr:rowOff>81280</xdr:rowOff>
    </xdr:from>
    <xdr:to>
      <xdr:col>26</xdr:col>
      <xdr:colOff>289560</xdr:colOff>
      <xdr:row>5</xdr:row>
      <xdr:rowOff>116840</xdr:rowOff>
    </xdr:to>
    <xdr:pic>
      <xdr:nvPicPr>
        <xdr:cNvPr id="2" name="Picture 4" descr="TREC GB logo">
          <a:extLst>
            <a:ext uri="{FF2B5EF4-FFF2-40B4-BE49-F238E27FC236}">
              <a16:creationId xmlns:a16="http://schemas.microsoft.com/office/drawing/2014/main" id="{3C6E3949-5ACF-4627-8327-16DA013C48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30440" y="119380"/>
          <a:ext cx="924560" cy="896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132080</xdr:colOff>
      <xdr:row>0</xdr:row>
      <xdr:rowOff>2540</xdr:rowOff>
    </xdr:from>
    <xdr:to>
      <xdr:col>4</xdr:col>
      <xdr:colOff>350520</xdr:colOff>
      <xdr:row>2</xdr:row>
      <xdr:rowOff>180340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2CD7EDEE-EE71-4AAA-85AA-8ABE56A7B6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7620" y="2540"/>
          <a:ext cx="2885440" cy="513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5">
  <rv s="0">
    <v>6</v>
    <v>8</v>
    <v>6</v>
    <v>1</v>
  </rv>
  <rv s="0">
    <v>6</v>
    <v>8</v>
    <v>9</v>
    <v>1</v>
  </rv>
  <rv s="0">
    <v>6</v>
    <v>8</v>
    <v>4</v>
    <v>1</v>
  </rv>
  <rv s="0">
    <v>6</v>
    <v>8</v>
    <v>7</v>
    <v>1</v>
  </rv>
  <rv s="0">
    <v>6</v>
    <v>8</v>
    <v>2</v>
    <v>1</v>
  </rv>
</rvData>
</file>

<file path=xl/richData/rdrichvaluestructure.xml><?xml version="1.0" encoding="utf-8"?>
<rvStructures xmlns="http://schemas.microsoft.com/office/spreadsheetml/2017/richdata" count="1">
  <s t="_error">
    <k n="colOffset" t="i"/>
    <k n="errorType" t="i"/>
    <k n="rwOffset" t="i"/>
    <k n="subType" t="i"/>
  </s>
</rvStructure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E90D1432-CDD6-4598-83DE-1933AB381999}" name="Open" displayName="Open" ref="A10:AA33" totalsRowShown="0" headerRowDxfId="316" dataDxfId="315">
  <tableColumns count="27">
    <tableColumn id="1" xr3:uid="{524B64D1-7B52-44DF-891A-5C7F6E34151C}" name="INSURED BY" dataDxfId="314"/>
    <tableColumn id="34" xr3:uid="{94D9EBFC-C04A-4AED-8F21-1F7872134F8B}" name="AMOUNT" dataDxfId="313"/>
    <tableColumn id="33" xr3:uid="{210861E2-E5F7-4C92-BB4F-907179E5B34D}" name="RIDER" dataDxfId="312"/>
    <tableColumn id="2" xr3:uid="{54AD9035-E60E-411C-B05A-BF7A4A5A0097}" name="TREC GB #/ CLUB #" dataDxfId="311"/>
    <tableColumn id="24" xr3:uid="{340F7DAF-0FA4-4711-B5E5-DB430C42C940}" name="JUNIOR MEMBER (Y/N)" dataDxfId="310"/>
    <tableColumn id="3" xr3:uid="{312F3A05-BD14-4CA2-A840-DC5360777D61}" name="HORSE_x000a_(very important)" dataDxfId="309"/>
    <tableColumn id="27" xr3:uid="{A1C08638-91CC-49E4-8958-D14B4EB963D9}" name="POSITION" dataDxfId="308">
      <calculatedColumnFormula>IF(H11="E","E",(IF(C11="","",_xlfn.RANK.EQ($H11,$H$11:$H$33)+COUNTIFS($H$11:$H$33,$H11,$J$11:$J$33,"&gt;"&amp;$J11))))</calculatedColumnFormula>
    </tableColumn>
    <tableColumn id="26" xr3:uid="{BBCA3D0D-A858-4EE3-8430-71DFE87D30C6}" name="GRAND TOTAL" dataDxfId="307">
      <calculatedColumnFormula>IF(Open[[#This Row],[RIDER]]="","",IF((COUNTIF(J11, "E")), "E", (SUM(J11+I11))))</calculatedColumnFormula>
    </tableColumn>
    <tableColumn id="28" xr3:uid="{321EBDE9-307D-4946-8E9B-2C74A0BA8DC6}" name="MA TOTAL" dataDxfId="306">
      <calculatedColumnFormula>IF(Open[[#This Row],[RIDER]]="","",SUM(X11,AA11))</calculatedColumnFormula>
    </tableColumn>
    <tableColumn id="25" xr3:uid="{EA833F58-CF59-4C59-9664-643F7DAD6DC1}" name="PTV TOTAL" dataDxfId="305">
      <calculatedColumnFormula>IF(Open[[#This Row],[RIDER]]="","",IF(COUNTIF(K11:T11, "E"), "E", (SUM(K11:T11)-U11)))</calculatedColumnFormula>
    </tableColumn>
    <tableColumn id="4" xr3:uid="{5A615727-09B7-4A70-91ED-501078285FBF}" name="Obstacle 1" dataDxfId="304"/>
    <tableColumn id="5" xr3:uid="{97A5D837-3EC2-42C3-B431-0997B623C681}" name="Obstacle 2" dataDxfId="303"/>
    <tableColumn id="6" xr3:uid="{AC3FCB23-A3B2-4D34-8BA5-AD8CD0BC19A4}" name="Obstacle 3" dataDxfId="302"/>
    <tableColumn id="7" xr3:uid="{CCD55D9E-9F8C-4A9F-8942-E58623D94F8F}" name="Obstacle 4" dataDxfId="301"/>
    <tableColumn id="8" xr3:uid="{E0184612-4032-419D-8AC0-F3D98E96C14B}" name="Obstacle 5" dataDxfId="300"/>
    <tableColumn id="9" xr3:uid="{02A43B09-B4CC-4166-ADDC-3C35C018730B}" name="Obstacle 6" dataDxfId="299"/>
    <tableColumn id="10" xr3:uid="{FA1AC4EF-7662-4C1B-8751-539C050112B3}" name="Obstacle 7" dataDxfId="298"/>
    <tableColumn id="11" xr3:uid="{4A14B353-7E0D-438C-8AAE-DC7525A28534}" name="Obstacle 8" dataDxfId="297"/>
    <tableColumn id="12" xr3:uid="{748718D3-C654-448D-BF74-8DFF9D7546A3}" name="Obstacle 9" dataDxfId="296"/>
    <tableColumn id="13" xr3:uid="{95E110B3-C2F7-4B60-BBE9-880875332B8A}" name="Obstacle 10" dataDxfId="295"/>
    <tableColumn id="14" xr3:uid="{A492E9F6-D18E-47ED-8862-80A524751C3F}" name="Deductions for circling/time faults" dataDxfId="294"/>
    <tableColumn id="29" xr3:uid="{57DBF35A-6ACD-42AE-B73E-C3226B595AC8}" name="Canter time" dataDxfId="293"/>
    <tableColumn id="30" xr3:uid="{6436E46A-8568-404D-BD4B-B2E69E939898}" name="Outside/Broke (O/B)" dataDxfId="292"/>
    <tableColumn id="16" xr3:uid="{5FF9E346-AECE-49F8-8B71-02BA2F6C88DF}" name="Total Canter" dataDxfId="291">
      <calculatedColumnFormula>IF(C11="","",IF(OR(Open[[#This Row],[Outside/Broke (O/B)]]="O",Open[[#This Row],[Outside/Broke (O/B)]]="B"),0,VLOOKUP((V11/MAlength*150),CanterScore,2,TRUE)))</calculatedColumnFormula>
    </tableColumn>
    <tableColumn id="32" xr3:uid="{95DA8BA7-BCED-4D81-B880-BC196325DC84}" name="Walk time" dataDxfId="290"/>
    <tableColumn id="31" xr3:uid="{1F07980E-F2E0-464C-A167-BA1C2C1F4F45}" name="Outside/Broke (O/B)2" dataDxfId="289"/>
    <tableColumn id="17" xr3:uid="{B91B6151-CE65-42FF-874C-E6D9D954CE3D}" name="Total Walk" dataDxfId="288">
      <calculatedColumnFormula>IF(C11="","",IF(OR(Open[[#This Row],[Outside/Broke (O/B)2]]="O",Open[[#This Row],[Outside/Broke (O/B)2]]="B"),0,IF((Y11/MAlength*150)=0, 0,IF((Y11/MAlength*150)&lt;'MA calc'!$A$4, 15, VLOOKUP((Y11/MAlength*150),WalkScore,2,TRUE)))))</calculatedColumnFormula>
    </tableColumn>
  </tableColumns>
  <tableStyleInfo name="TableStyleMedium4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74335F99-1A41-4195-A3E0-111AFECF2B7B}" name="Table10" displayName="Table10" ref="A10:AB35" totalsRowShown="0" headerRowDxfId="47" dataDxfId="46">
  <tableColumns count="28">
    <tableColumn id="1" xr3:uid="{4C445773-BC1A-485B-9716-6073B984006C}" name="INSURED BY" dataDxfId="45"/>
    <tableColumn id="34" xr3:uid="{6D3CAE37-0633-4F39-AA8C-1CE973CA5ABA}" name="AMOUNT" dataDxfId="44"/>
    <tableColumn id="33" xr3:uid="{362A88DD-8136-4498-9E88-79B104A736D1}" name="RIDER" dataDxfId="43"/>
    <tableColumn id="2" xr3:uid="{5FBC1F30-34C8-4D35-934D-78223D174BBD}" name="TREC GB #/ CLUB #" dataDxfId="42"/>
    <tableColumn id="24" xr3:uid="{3A4C02D6-82DD-4C47-9428-EA5A79EA456C}" name="JUNIOR MEMBER (Y/N)" dataDxfId="41"/>
    <tableColumn id="3" xr3:uid="{B7B78ED4-80DE-4591-B507-BB066E16D420}" name="HORSE_x000a_(very important)" dataDxfId="40"/>
    <tableColumn id="27" xr3:uid="{E5E762DD-0F4A-4FD9-A8AA-20A5E99D49BC}" name="POSITION" dataDxfId="39">
      <calculatedColumnFormula>IF(H11="E","E",(IF(C11="","",_xlfn.RANK.EQ($H11,$H$11:$H$35)+COUNTIFS($H$11:$H$35,$H11,$J$11:$J$35,"&gt;"&amp;$J11))))</calculatedColumnFormula>
    </tableColumn>
    <tableColumn id="26" xr3:uid="{CE702AFB-904C-4678-8CEF-F0F4565899D0}" name="GRAND TOTAL" dataDxfId="38">
      <calculatedColumnFormula>IF(Table10[[#This Row],[RIDER]]="","",IF((COUNTIF(J11, "E")), "E", (SUM(J11+I11))))</calculatedColumnFormula>
    </tableColumn>
    <tableColumn id="28" xr3:uid="{75069DF4-83A7-48B0-89C2-003A36189D52}" name="MA TOTAL" dataDxfId="37">
      <calculatedColumnFormula>IF(Table10[[#This Row],[RIDER]]="","",SUM(X11,AA11))</calculatedColumnFormula>
    </tableColumn>
    <tableColumn id="25" xr3:uid="{268AB9DF-D94C-4DE3-B363-C882F105E4F2}" name="PTV_x000a_TOTAL" dataDxfId="36">
      <calculatedColumnFormula>IF(Table10[[#This Row],[RIDER]]="","",IF(COUNTIF(K11:T11, "E"), "E", (SUM(K11:T11)-U11)))</calculatedColumnFormula>
    </tableColumn>
    <tableColumn id="4" xr3:uid="{C8073FA6-0BDA-4240-ABA1-EB7C91C1A6EA}" name="Obstacle 1" dataDxfId="35"/>
    <tableColumn id="5" xr3:uid="{83458885-39CE-46D7-8704-617CB681A0FF}" name="Obstacle 2" dataDxfId="34"/>
    <tableColumn id="6" xr3:uid="{66303FEF-27D2-4302-B629-07FBBBF1708D}" name="Obstacle 3" dataDxfId="33"/>
    <tableColumn id="7" xr3:uid="{C7F25DA4-6792-4200-A825-2BBCD60E5AFE}" name="Obstacle 4" dataDxfId="32"/>
    <tableColumn id="8" xr3:uid="{540BAA8B-5F91-4E39-A372-1B1D1B07F79F}" name="Obstacle 5" dataDxfId="31"/>
    <tableColumn id="9" xr3:uid="{9C15CCBA-E4A5-44A7-997C-912FDB14258B}" name="Obstacle 6" dataDxfId="30"/>
    <tableColumn id="10" xr3:uid="{F659B545-5D4E-486F-A4AA-F0EC3209608E}" name="Obstacle 7" dataDxfId="29"/>
    <tableColumn id="11" xr3:uid="{379F2F64-A3DE-4052-811F-ABFB50BDA96E}" name="Obstacle 8" dataDxfId="28"/>
    <tableColumn id="12" xr3:uid="{335F0080-D2AF-42F1-AB06-DBA03FC2A046}" name="Obstacle 9" dataDxfId="27"/>
    <tableColumn id="13" xr3:uid="{AF4965C8-48AF-44B7-914C-6700A3190079}" name="Obstacle 10" dataDxfId="26"/>
    <tableColumn id="14" xr3:uid="{130CA29B-665A-49DE-9B8A-FDCD5003D658}" name="Deductions for circling/time faults" dataDxfId="25"/>
    <tableColumn id="29" xr3:uid="{55895C51-73B9-41E7-8C91-26D95E69C1DA}" name="Canter time" dataDxfId="24"/>
    <tableColumn id="30" xr3:uid="{3C62570D-0FEB-4AAC-A2BD-5FD25FCF62D6}" name="Outside/Broke (O/B)" dataDxfId="23"/>
    <tableColumn id="16" xr3:uid="{6E13788B-9EC1-44CB-BFC7-E81C09C6484F}" name="Total Canter" dataDxfId="22">
      <calculatedColumnFormula>IF(C11="","",IF(OR(Table10[[#This Row],[Outside/Broke (O/B)]]="O",Table10[[#This Row],[Outside/Broke (O/B)]]="B"),0,VLOOKUP((V11/MAlength*150),CanterScore,2,TRUE)))</calculatedColumnFormula>
    </tableColumn>
    <tableColumn id="32" xr3:uid="{15FE4684-FD19-4DF2-A56F-9C26DB41D79E}" name="Walk time" dataDxfId="21"/>
    <tableColumn id="31" xr3:uid="{CF078AEA-09C8-4AAF-A321-61E6CF755F70}" name="Outside/Broke (O/B)2" dataDxfId="20"/>
    <tableColumn id="17" xr3:uid="{DAF88276-B337-403F-8BC6-0FD86D653788}" name="Total Walk" dataDxfId="19">
      <calculatedColumnFormula>IF(C11="","",IF(OR(Table10[[#This Row],[Outside/Broke (O/B)2]]="O",Table10[[#This Row],[Outside/Broke (O/B)2]]="B"),0,IF((Y11/MAlength*150)=0, 0,IF((Y11/MAlength*150)&lt;'MA calc'!$A$4, 15, VLOOKUP((Y11/MAlength*150),WalkScore,2,TRUE)))))</calculatedColumnFormula>
    </tableColumn>
    <tableColumn id="21" xr3:uid="{BF151137-E118-4F2D-B62B-BC9E8AE9D2A6}" name="." dataDxfId="18"/>
  </tableColumns>
  <tableStyleInfo name="TableStyleMedium4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7F8ABA1B-0BB6-4905-B188-C41271105664}" name="OpenInt" displayName="OpenInt" ref="A10:AB35" totalsRowShown="0" headerRowDxfId="287" dataDxfId="286">
  <tableColumns count="28">
    <tableColumn id="1" xr3:uid="{94944F51-7D51-447E-95D7-CE39212B62B8}" name="INSURED BY" dataDxfId="285"/>
    <tableColumn id="34" xr3:uid="{CC9F42D5-E17B-46A0-B3ED-E64EC8A3BB57}" name="AMOUNT" dataDxfId="284"/>
    <tableColumn id="33" xr3:uid="{B353919E-6A8C-4EAF-8DFF-1D812217BC4B}" name="RIDER" dataDxfId="283"/>
    <tableColumn id="2" xr3:uid="{E58F224E-39EA-45F2-8165-C4DDAFC10FD7}" name="TREC GB #/ CLUB #" dataDxfId="282"/>
    <tableColumn id="24" xr3:uid="{9D72DAC3-AF73-4250-8D40-2FBDB3788F4C}" name="JUNIOR MEMBER (Y/N)" dataDxfId="281"/>
    <tableColumn id="3" xr3:uid="{C37D03D8-C2BD-4148-963E-074B717D63A4}" name="HORSE_x000a_(very important)" dataDxfId="280"/>
    <tableColumn id="27" xr3:uid="{82BB7680-85E0-4104-B69F-FA521A541C53}" name="POSITION" dataDxfId="279">
      <calculatedColumnFormula>IF(H11="E","E",(IF(C11="","",_xlfn.RANK.EQ($H11,$H$11:$H$35)+COUNTIFS($H$11:$H$35,$H11,$J$11:$J$35,"&gt;"&amp;$J11))))</calculatedColumnFormula>
    </tableColumn>
    <tableColumn id="26" xr3:uid="{DD333080-88F3-45D1-AD9E-19723F8AE210}" name="GRAND TOTAL" dataDxfId="278">
      <calculatedColumnFormula>IF(OpenInt[[#This Row],[RIDER]]="","",IF((COUNTIF(J11, "E")), "E", (SUM(J11+I11))))</calculatedColumnFormula>
    </tableColumn>
    <tableColumn id="28" xr3:uid="{1A6B8792-7CD7-4602-963B-BAA830A1528B}" name="MA TOTAL" dataDxfId="277">
      <calculatedColumnFormula>IF(OpenInt[[#This Row],[RIDER]]="","",SUM(X11,AA11))</calculatedColumnFormula>
    </tableColumn>
    <tableColumn id="25" xr3:uid="{7AE2AC37-8BB0-4C6A-A3AF-5E7EDC96E012}" name="PTV_x000a_TOTAL" dataDxfId="276">
      <calculatedColumnFormula>IF(OpenInt[[#This Row],[RIDER]]="","",IF(COUNTIF(K11:T11, "E"), "E", (SUM(K11:T11)-U11)))</calculatedColumnFormula>
    </tableColumn>
    <tableColumn id="4" xr3:uid="{1E883D3A-82DD-44E3-8784-5971CE24D8A3}" name="Obstacle 1" dataDxfId="275"/>
    <tableColumn id="5" xr3:uid="{22FEDF5E-D05A-43F4-89B9-13613DDD1A45}" name="Obstacle 2" dataDxfId="274"/>
    <tableColumn id="6" xr3:uid="{9C6788F5-5171-42D5-B72F-EB752A8BA14D}" name="Obstacle 3" dataDxfId="273"/>
    <tableColumn id="7" xr3:uid="{5066943B-AC11-454D-A8D9-02A36D6A600E}" name="Obstacle 4" dataDxfId="272"/>
    <tableColumn id="8" xr3:uid="{7AC97855-C754-4953-96BC-DDD4D87F66D7}" name="Obstacle 5" dataDxfId="271"/>
    <tableColumn id="9" xr3:uid="{826168A7-6449-4590-98FC-9B51D4CA1937}" name="Obstacle 6" dataDxfId="270"/>
    <tableColumn id="10" xr3:uid="{9ABB90BB-8AEF-46B9-9C06-D94A671F077E}" name="Obstacle 7" dataDxfId="269"/>
    <tableColumn id="11" xr3:uid="{4825A22B-715A-4641-9959-FA26704836A2}" name="Obstacle 8" dataDxfId="268"/>
    <tableColumn id="12" xr3:uid="{07F88852-B1DF-4672-8928-1910FFEDB6C1}" name="Obstacle 9" dataDxfId="267"/>
    <tableColumn id="13" xr3:uid="{DCF3CB42-6EBC-4C3D-8D15-03CB558AC51C}" name="Obstacle 10" dataDxfId="266"/>
    <tableColumn id="14" xr3:uid="{C289D1A9-5F40-4848-BE6D-FC99353D6595}" name="Deductions for circling/time faults" dataDxfId="265"/>
    <tableColumn id="29" xr3:uid="{4272357E-9FD7-4DE2-A38C-5F5EC53F4639}" name="Canter time" dataDxfId="264"/>
    <tableColumn id="30" xr3:uid="{952C462E-1F04-4839-AB19-5AF622BB6F93}" name="Outside/Broke (O/B)" dataDxfId="263"/>
    <tableColumn id="16" xr3:uid="{CBF6F619-27A9-4021-8795-18920795AE9C}" name="Total Canter" dataDxfId="262">
      <calculatedColumnFormula>IF(C11="","",IF(OR(OpenInt[[#This Row],[Outside/Broke (O/B)]]="O",OpenInt[[#This Row],[Outside/Broke (O/B)]]="B"),0,VLOOKUP((V11/MAlength*150),CanterScore,2,TRUE)))</calculatedColumnFormula>
    </tableColumn>
    <tableColumn id="32" xr3:uid="{8E82142B-755B-4934-976D-E1BC00D5FC35}" name="Walk time" dataDxfId="261"/>
    <tableColumn id="31" xr3:uid="{0DF04D67-2982-42C9-895D-6C870C5226CC}" name="Outside/Broke (O/B)2" dataDxfId="260"/>
    <tableColumn id="17" xr3:uid="{39AD3F98-3874-4519-812C-1D6F1CD48DF1}" name="Total Walk" dataDxfId="259">
      <calculatedColumnFormula>IF(C11="","",IF(OR(OpenInt[[#This Row],[Outside/Broke (O/B)2]]="O",OpenInt[[#This Row],[Outside/Broke (O/B)2]]="B"),0,IF((Y11/MAlength*150)=0, 0,IF((Y11/MAlength*150)&lt;'MA calc'!$A$4, 15, VLOOKUP((Y11/MAlength*150),WalkScore,2,TRUE)))))</calculatedColumnFormula>
    </tableColumn>
    <tableColumn id="21" xr3:uid="{9F675477-D906-4192-B288-C40EBE5EA2D8}" name="." dataDxfId="258"/>
  </tableColumns>
  <tableStyleInfo name="TableStyleMedium4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B17D8E89-170A-4DA0-930A-20CDA0198718}" name="Interm" displayName="Interm" ref="A10:AB35" totalsRowShown="0" headerRowDxfId="257" dataDxfId="256">
  <tableColumns count="28">
    <tableColumn id="1" xr3:uid="{9BC131EC-5A97-466C-B2E5-5040F73B015A}" name="INSURED BY" dataDxfId="255"/>
    <tableColumn id="34" xr3:uid="{8AAC0FE8-6366-4F26-B309-13FDCAF14B09}" name="AMOUNT" dataDxfId="254"/>
    <tableColumn id="33" xr3:uid="{18E2E240-0548-42C0-A181-47B022FF1161}" name="RIDER" dataDxfId="253"/>
    <tableColumn id="2" xr3:uid="{54972805-CCA9-48C2-9E6A-CA81ACA5D96D}" name="TREC GB #/ CLUB #" dataDxfId="252"/>
    <tableColumn id="24" xr3:uid="{1B2254EF-490D-4DAD-94A1-3CA2AE5453E6}" name="JUNIOR MEMBER (Y/N)" dataDxfId="251"/>
    <tableColumn id="3" xr3:uid="{1EFC900E-3FF9-40CD-951D-D6C1CF7D529E}" name="HORSE_x000a_(very important)" dataDxfId="250"/>
    <tableColumn id="27" xr3:uid="{138AC275-A512-42C5-881F-EB53B9A379DA}" name="POSITION" dataDxfId="249">
      <calculatedColumnFormula>IF(H11="E","E",(IF(C11="","",_xlfn.RANK.EQ($H11,$H$11:$H$35)+COUNTIFS($H$11:$H$35,$H11,$J$11:$J$35,"&gt;"&amp;$J11))))</calculatedColumnFormula>
    </tableColumn>
    <tableColumn id="26" xr3:uid="{7F5A12F6-6043-4E7D-9341-D7D26C620BD0}" name="GRAND TOTAL" dataDxfId="248">
      <calculatedColumnFormula>IF(Interm[[#This Row],[RIDER]]="","",IF((COUNTIF(J11, "E")), "E", (SUM(J11+I11))))</calculatedColumnFormula>
    </tableColumn>
    <tableColumn id="28" xr3:uid="{8C4D41EF-E24A-4BFF-9864-7A8107ECD441}" name="MA TOTAL" dataDxfId="247">
      <calculatedColumnFormula>IF(Interm[[#This Row],[RIDER]]="","",SUM(X11,AA11))</calculatedColumnFormula>
    </tableColumn>
    <tableColumn id="25" xr3:uid="{E6E49DAE-B498-48A0-B0FD-09453B28BD9F}" name="PTV_x000a_TOTAL" dataDxfId="246">
      <calculatedColumnFormula>IF(Interm[[#This Row],[RIDER]]="","",IF(COUNTIF(K11:T11, "E"), "E",(SUM(K11:T11)-U11)))</calculatedColumnFormula>
    </tableColumn>
    <tableColumn id="4" xr3:uid="{621BAB59-7FEA-4DE1-983B-089799772339}" name="Obstacle 1" dataDxfId="245"/>
    <tableColumn id="5" xr3:uid="{2E687D8E-9913-471C-AD97-28E689E780AD}" name="Obstacle 2" dataDxfId="244"/>
    <tableColumn id="6" xr3:uid="{D0584E82-936B-4D1A-8928-7EDB94EC38FB}" name="Obstacle 3" dataDxfId="243"/>
    <tableColumn id="7" xr3:uid="{995E1DC6-9A97-432B-8BE7-0CDD8D53A578}" name="Obstacle 4" dataDxfId="242"/>
    <tableColumn id="8" xr3:uid="{71A6611E-CA46-42C7-A6F1-9357DD2DE1BB}" name="Obstacle 5" dataDxfId="241"/>
    <tableColumn id="9" xr3:uid="{9C2BEDBB-9EB4-4837-9BEC-EF1BFF1400E3}" name="Obstacle 6" dataDxfId="240"/>
    <tableColumn id="10" xr3:uid="{95D45CC0-1C88-4DD0-9D88-346225E94A2D}" name="Obstacle 7" dataDxfId="239"/>
    <tableColumn id="11" xr3:uid="{7778A2F0-04D3-40C6-828F-AACD14D5277B}" name="Obstacle 8" dataDxfId="238"/>
    <tableColumn id="12" xr3:uid="{54ABA5CF-BD3E-4F6C-B09C-38BED111B7CA}" name="Obstacle 9" dataDxfId="237"/>
    <tableColumn id="13" xr3:uid="{CA8AEF97-B337-4346-9AEC-792366A36D1D}" name="Obstacle 10" dataDxfId="236"/>
    <tableColumn id="14" xr3:uid="{F7013F81-EF31-4A2C-A88A-1AF66C5E68DD}" name="Deductions for circling/time faults" dataDxfId="235"/>
    <tableColumn id="29" xr3:uid="{189A04DE-6013-4D91-BDF9-C98BD413F582}" name="Canter time" dataDxfId="234"/>
    <tableColumn id="30" xr3:uid="{7C8D2D3C-6CDA-460F-B07C-27A1C66129F9}" name="Outside/Broke (O/B)" dataDxfId="233"/>
    <tableColumn id="16" xr3:uid="{2380F592-B66D-495F-A503-BC2CCA42C845}" name="Total Canter" dataDxfId="232">
      <calculatedColumnFormula>IF(C11="","",IF(OR(Interm[[#This Row],[Outside/Broke (O/B)]]="O",Interm[[#This Row],[Outside/Broke (O/B)]]="B"),0,VLOOKUP((V11/MAlength*150),CanterScore,2,TRUE)))</calculatedColumnFormula>
    </tableColumn>
    <tableColumn id="32" xr3:uid="{C63E08CA-1B15-4F44-AD85-1B18549A2932}" name="Walk time" dataDxfId="231"/>
    <tableColumn id="31" xr3:uid="{F7B73D4F-5858-42B0-91C9-7EF8A1DFA788}" name="Outside/Broke (O/B)2" dataDxfId="230"/>
    <tableColumn id="17" xr3:uid="{301C828F-8F79-4E1C-A304-AE6F1F5F3B90}" name="Total Walk" dataDxfId="229">
      <calculatedColumnFormula>IF(C11="","",IF(OR(Interm[[#This Row],[Outside/Broke (O/B)2]]="O",Interm[[#This Row],[Outside/Broke (O/B)2]]="B"),0,IF((Y11/MAlength*150)=0, 0,IF((Y11/MAlength*150)&lt;'MA calc'!$A$4, 15, VLOOKUP((Y11/MAlength*150),WalkScore,2,TRUE)))))</calculatedColumnFormula>
    </tableColumn>
    <tableColumn id="21" xr3:uid="{797B3D08-FDA4-4CC5-91DE-B22E9CBDF39F}" name="." dataDxfId="228"/>
  </tableColumns>
  <tableStyleInfo name="TableStyleMedium4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A93DF3E9-ADBF-4C07-B803-4AA8829A568A}" name="Novice" displayName="Novice" ref="A10:AB35" totalsRowShown="0" headerRowDxfId="227" dataDxfId="226">
  <tableColumns count="28">
    <tableColumn id="1" xr3:uid="{8A980DC7-9CA1-44AB-93FF-30275EA2B7C8}" name="INSURED BY" dataDxfId="225"/>
    <tableColumn id="34" xr3:uid="{9F56354A-2F2C-4906-A681-A9C71CED292D}" name="AMOUNT" dataDxfId="224"/>
    <tableColumn id="33" xr3:uid="{16E302C5-7466-4848-9E45-DAFA0EA6A108}" name="RIDER" dataDxfId="223"/>
    <tableColumn id="2" xr3:uid="{A1026C18-C8B8-4569-83EA-3AF3E1A68A22}" name="TREC GB #/ CLUB #" dataDxfId="222"/>
    <tableColumn id="24" xr3:uid="{DC618C3C-D1A1-46A6-AC0C-AB3ADB8DBEF7}" name="JUNIOR MEMBER (Y/N)" dataDxfId="221"/>
    <tableColumn id="3" xr3:uid="{AD38A671-AA0C-4E0B-AF0F-38766F82DCE2}" name="HORSE_x000a_(very important)" dataDxfId="220"/>
    <tableColumn id="27" xr3:uid="{A7D50A94-4F34-4439-991F-B5F1B6A2AB9C}" name="POSITION" dataDxfId="219">
      <calculatedColumnFormula>IF(H11="E","E",(IF(C11="","",_xlfn.RANK.EQ($H11,$H$11:$H$35)+COUNTIFS($H$11:$H$35,$H11,$J$11:$J$35,"&gt;"&amp;$J11))))</calculatedColumnFormula>
    </tableColumn>
    <tableColumn id="26" xr3:uid="{1EB17F84-F39E-474B-A5C2-0A246AA38E53}" name="GRAND TOTAL" dataDxfId="218">
      <calculatedColumnFormula>IF(Novice[[#This Row],[RIDER]]="","",IF((COUNTIF(J11, "E")), "E", (SUM(J11+I11))))</calculatedColumnFormula>
    </tableColumn>
    <tableColumn id="28" xr3:uid="{5E3308F5-2D77-4AF1-8E71-6C38923CD138}" name="MA TOTAL" dataDxfId="217">
      <calculatedColumnFormula>IF(Novice[[#This Row],[RIDER]]="","",SUM(X11,AA11))</calculatedColumnFormula>
    </tableColumn>
    <tableColumn id="25" xr3:uid="{97966568-104C-46AC-8EB5-F03E7A525772}" name="PTV_x000a_TOTAL" dataDxfId="216">
      <calculatedColumnFormula>IF(Novice[[#This Row],[RIDER]]="","",IF(COUNTIF(K11:T11, "E"), "E", (SUM(K11:T11)-U11)))</calculatedColumnFormula>
    </tableColumn>
    <tableColumn id="4" xr3:uid="{4ED7BC4E-7391-4F12-A71A-BB45D342E9F2}" name="Obstacle 1" dataDxfId="215"/>
    <tableColumn id="5" xr3:uid="{E24B636F-A3CF-4559-AFA3-AA73A77E1833}" name="Obstacle 2" dataDxfId="214"/>
    <tableColumn id="6" xr3:uid="{FEF636F0-D3D6-47B9-9A2A-F63E594CD67E}" name="Obstacle 3" dataDxfId="213"/>
    <tableColumn id="7" xr3:uid="{0033DA54-1AAD-405B-A6FE-2B897D74A76A}" name="Obstacle 4" dataDxfId="212"/>
    <tableColumn id="8" xr3:uid="{C39EF8B1-1B9F-44DB-94E4-F7F6B6675646}" name="Obstacle 5" dataDxfId="211"/>
    <tableColumn id="9" xr3:uid="{27D270BC-466F-4470-AC5C-3C89C3D9279C}" name="Obstacle 6" dataDxfId="210"/>
    <tableColumn id="10" xr3:uid="{82C1C1AA-FCB6-4914-9E22-56BDFA8590D4}" name="Obstacle 7" dataDxfId="209"/>
    <tableColumn id="11" xr3:uid="{3C1490EF-C44D-4DC5-9ECC-8069E8EEFB7A}" name="Obstacle 8" dataDxfId="208"/>
    <tableColumn id="12" xr3:uid="{85997D1D-6AF2-4543-A2DA-9970B05CB307}" name="Obstacle 9" dataDxfId="207"/>
    <tableColumn id="13" xr3:uid="{547B371B-3814-4636-A856-614A7791F825}" name="Obstacle 10" dataDxfId="206"/>
    <tableColumn id="14" xr3:uid="{E0974A60-DD12-454F-BAD8-8CBC832ECEEB}" name="Deductions for circling/time faults" dataDxfId="205"/>
    <tableColumn id="29" xr3:uid="{BF6BAD32-F69A-440D-A0BF-EBD6998CAA1E}" name="Canter time" dataDxfId="204"/>
    <tableColumn id="30" xr3:uid="{5D0DEDB8-0C39-4D32-9798-229AF6A848A1}" name="Outside/Broke (O/B)" dataDxfId="203"/>
    <tableColumn id="16" xr3:uid="{096970D2-C4A4-4291-96CC-5026F3BE6D19}" name="Total Canter" dataDxfId="202">
      <calculatedColumnFormula>IF(C11="","",IF(OR(Novice[[#This Row],[Outside/Broke (O/B)]]="O",Novice[[#This Row],[Outside/Broke (O/B)]]="B"),0,VLOOKUP((V11/MAlength*150),CanterScore,2,TRUE)))</calculatedColumnFormula>
    </tableColumn>
    <tableColumn id="32" xr3:uid="{DBB6F13B-E614-4B90-9797-9AD1E172A15C}" name="Walk time" dataDxfId="201"/>
    <tableColumn id="31" xr3:uid="{72E728D6-A6C8-484F-A31F-1BE132F2B228}" name="Outside/Broke (O/B)2" dataDxfId="200"/>
    <tableColumn id="17" xr3:uid="{B8B084E4-2BCB-4D9A-A597-990531F25978}" name="Total Walk" dataDxfId="199">
      <calculatedColumnFormula>IF(C11="","",IF(OR(Novice[[#This Row],[Outside/Broke (O/B)2]]="O",Novice[[#This Row],[Outside/Broke (O/B)2]]="B"),0,IF((Y11/MAlength*150)=0, 0,IF((Y11/MAlength*150)&lt;'MA calc'!$A$4, 15, VLOOKUP((Y11/MAlength*150),WalkScore,2,TRUE)))))</calculatedColumnFormula>
    </tableColumn>
    <tableColumn id="21" xr3:uid="{FAA47BBF-6548-4024-8406-D234CD9822CB}" name="." dataDxfId="198"/>
  </tableColumns>
  <tableStyleInfo name="TableStyleMedium4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E6187A00-DA73-4AE4-BCC2-D0BDE77D1AB9}" name="Newc" displayName="Newc" ref="A10:AB35" totalsRowShown="0" headerRowDxfId="197" dataDxfId="196">
  <tableColumns count="28">
    <tableColumn id="1" xr3:uid="{C424F975-C806-4198-8D2D-67DD29F0F3C8}" name="INSURED BY" dataDxfId="195"/>
    <tableColumn id="34" xr3:uid="{6F3283DC-960A-4A1E-8A58-B1636F88F4E7}" name="AMOUNT" dataDxfId="194"/>
    <tableColumn id="33" xr3:uid="{CDAF284D-9C41-40DA-B6CD-4B1B2C0DF6E4}" name="RIDER" dataDxfId="193"/>
    <tableColumn id="2" xr3:uid="{60E86767-0894-4C3C-AAD5-193EBF36CEEB}" name="TREC GB #/ CLUB #" dataDxfId="192"/>
    <tableColumn id="24" xr3:uid="{BE523027-1E56-4FB2-BC98-4C456A70E6B5}" name="JUNIOR MEMBER (Y/N)" dataDxfId="191"/>
    <tableColumn id="3" xr3:uid="{36B77938-0166-416F-B616-A2991605AE44}" name="HORSE_x000a_(very important)" dataDxfId="190"/>
    <tableColumn id="27" xr3:uid="{5E129BAF-4438-4CFB-8182-BDD5841C74DC}" name="POSITION" dataDxfId="189">
      <calculatedColumnFormula>IF(H11="E","E",(IF(C11="","",_xlfn.RANK.EQ($H11,$H$11:$H$35)+COUNTIFS($H$11:$H$35,$H11,$J$11:$J$35,"&gt;"&amp;$J11))))</calculatedColumnFormula>
    </tableColumn>
    <tableColumn id="26" xr3:uid="{EA94C410-FFB0-4DDF-A1DB-750906C3721A}" name="GRAND TOTAL" dataDxfId="188">
      <calculatedColumnFormula>IF(Newc[[#This Row],[RIDER]]="","",IF((COUNTIF(J11, "E")), "E", (SUM(J11+I11))))</calculatedColumnFormula>
    </tableColumn>
    <tableColumn id="28" xr3:uid="{1716F155-3714-4274-BE47-48C277D4A893}" name="MA TOTAL" dataDxfId="187">
      <calculatedColumnFormula>IF(Newc[[#This Row],[RIDER]]="","",SUM(X11,AA11))</calculatedColumnFormula>
    </tableColumn>
    <tableColumn id="25" xr3:uid="{4914698D-00E3-48DB-A107-050FEE032AA2}" name="PTV_x000a_TOTAL" dataDxfId="186">
      <calculatedColumnFormula>IF(Newc[[#This Row],[RIDER]]="","",IF(COUNTIF(K11:T11, "E"), "E", (SUM(K11:T11)-U11)))</calculatedColumnFormula>
    </tableColumn>
    <tableColumn id="4" xr3:uid="{B998113E-B865-45E5-B81A-E89C38CDF226}" name="Obstacle 1" dataDxfId="185"/>
    <tableColumn id="5" xr3:uid="{04B42E11-A3E2-4EE4-9A8E-14B169E17598}" name="Obstacle 2" dataDxfId="184"/>
    <tableColumn id="6" xr3:uid="{460E7F28-8CFC-4815-9299-CAE8316D424F}" name="Obstacle 3" dataDxfId="183"/>
    <tableColumn id="7" xr3:uid="{C43642A5-9A4F-4324-A6CF-663E23428684}" name="Obstacle 4" dataDxfId="182"/>
    <tableColumn id="8" xr3:uid="{DAADF34A-666B-43C3-8F6E-331EF6DD0909}" name="Obstacle 5" dataDxfId="181"/>
    <tableColumn id="9" xr3:uid="{8F00AD4E-34B1-4D81-88AA-B80C857ABE9B}" name="Obstacle 6" dataDxfId="180"/>
    <tableColumn id="10" xr3:uid="{5A5C01A7-E730-48CF-A428-864F09B72645}" name="Obstacle 7" dataDxfId="179"/>
    <tableColumn id="11" xr3:uid="{CDEE26CD-7468-490B-90D8-B5E1817B8FF2}" name="Obstacle 8" dataDxfId="178"/>
    <tableColumn id="12" xr3:uid="{8619F277-F57F-45B8-9C96-499CC5D6F647}" name="Obstacle 9" dataDxfId="177"/>
    <tableColumn id="13" xr3:uid="{2FF5FC44-6EA6-4A73-A8AA-F30075D07E54}" name="Obstacle 10" dataDxfId="176"/>
    <tableColumn id="14" xr3:uid="{14757503-AE1C-475E-A357-C21410F85833}" name="Deductions for circling/time faults" dataDxfId="175"/>
    <tableColumn id="29" xr3:uid="{744EBD1A-61C4-4A23-AEE3-1944D8542681}" name="Canter time" dataDxfId="174"/>
    <tableColumn id="30" xr3:uid="{FCC57F3D-E768-4AED-BB3E-F443AEB610E0}" name="Outside/Broke (O/B)" dataDxfId="173"/>
    <tableColumn id="16" xr3:uid="{96DD2BB9-614C-48A1-8015-085180613F01}" name="Total Canter" dataDxfId="172">
      <calculatedColumnFormula>IF(C11="","",IF(OR(Newc[[#This Row],[Outside/Broke (O/B)]]="O",Newc[[#This Row],[Outside/Broke (O/B)]]="B"),0,VLOOKUP((V11/MAlength*150),CanterScore,2,TRUE)))</calculatedColumnFormula>
    </tableColumn>
    <tableColumn id="32" xr3:uid="{7B17ED3C-F967-4196-BB11-CFA8EC43868E}" name="Walk time" dataDxfId="171"/>
    <tableColumn id="31" xr3:uid="{798DCF10-156C-4E8C-9351-2F14F1F51A50}" name="Outside/Broke (O/B)2" dataDxfId="170"/>
    <tableColumn id="17" xr3:uid="{4960C541-A27D-43B3-BCFD-DFC6FCC39598}" name="Total Walk" dataDxfId="169">
      <calculatedColumnFormula>IF(C11="","",IF(OR(Newc[[#This Row],[Outside/Broke (O/B)2]]="O",Newc[[#This Row],[Outside/Broke (O/B)2]]="B"),0,IF((Y11/MAlength*150)=0, 0,IF((Y11/MAlength*150)&lt;'MA calc'!$A$4, 15, VLOOKUP((Y11/MAlength*150),WalkScore,2,TRUE)))))</calculatedColumnFormula>
    </tableColumn>
    <tableColumn id="21" xr3:uid="{4D34B481-70C4-43A4-97A6-80703F3EC397}" name="." dataDxfId="168"/>
  </tableColumns>
  <tableStyleInfo name="TableStyleMedium4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75B66589-2D40-43BF-8A3D-261F19A8DA6D}" name="Table6" displayName="Table6" ref="A10:AB35" totalsRowShown="0" headerRowDxfId="167" dataDxfId="166">
  <tableColumns count="28">
    <tableColumn id="1" xr3:uid="{FDBEFD8A-04BD-468A-B132-828FF00889A8}" name="INSURED BY" dataDxfId="165"/>
    <tableColumn id="34" xr3:uid="{82C95700-4A1F-4759-8DBE-7A4989DC8963}" name="AMOUNT" dataDxfId="164"/>
    <tableColumn id="33" xr3:uid="{5A3801A7-5539-43F2-A850-3FD6734F9D40}" name="RIDER" dataDxfId="163"/>
    <tableColumn id="2" xr3:uid="{6A886E43-7A45-418E-A6FB-58B33045B4E9}" name="TREC GB #/ CLUB #" dataDxfId="162"/>
    <tableColumn id="24" xr3:uid="{EC1CAE4F-E465-45D4-B42B-6DB47D1EEAEF}" name="JUNIOR MEMBER (Y/N)" dataDxfId="161"/>
    <tableColumn id="3" xr3:uid="{3D3F000F-1A81-4BBD-B5BF-39F133753799}" name="HORSE_x000a_(very important)" dataDxfId="160"/>
    <tableColumn id="27" xr3:uid="{914F8494-9A04-472D-B440-EA25E2697F16}" name="POSITION" dataDxfId="159">
      <calculatedColumnFormula>IF(H11="E","E",(IF(C11="","",_xlfn.RANK.EQ($H11,$H$11:$H$35)+COUNTIFS($H$11:$H$35,$H11,$J$11:$J$35,"&gt;"&amp;$J11))))</calculatedColumnFormula>
    </tableColumn>
    <tableColumn id="26" xr3:uid="{83E4672F-7F4D-42FA-A28C-4B46150CCD86}" name="GRAND TOTAL" dataDxfId="158">
      <calculatedColumnFormula>IF(Table6[[#This Row],[RIDER]]="","",IF((COUNTIF(J11, "E")), "E", (SUM(J11+I11))))</calculatedColumnFormula>
    </tableColumn>
    <tableColumn id="28" xr3:uid="{87C5270C-9326-4F71-8D2E-444A8CF7FD83}" name="MA TOTAL" dataDxfId="157">
      <calculatedColumnFormula>IF(Table6[[#This Row],[RIDER]]="","",SUM(X11,AA11))</calculatedColumnFormula>
    </tableColumn>
    <tableColumn id="25" xr3:uid="{76D9D383-964E-4B1E-959A-81F2DBF4FCCC}" name="PTV_x000a_TOTAL" dataDxfId="156">
      <calculatedColumnFormula>IF(Table6[[#This Row],[RIDER]]="","",IF(COUNTIF(K11:T11, "E"), "E", (SUM(K11:T11)-U11)))</calculatedColumnFormula>
    </tableColumn>
    <tableColumn id="4" xr3:uid="{4379B8C3-9A85-40C3-92C5-E809B0ED5847}" name="Obstacle 1" dataDxfId="155"/>
    <tableColumn id="5" xr3:uid="{808FA90F-EF60-40F3-A4AF-1222A5522C59}" name="Obstacle 2" dataDxfId="154"/>
    <tableColumn id="6" xr3:uid="{8CA1CF8E-75C1-4D35-BF7C-3859DF058AE0}" name="Obstacle 3" dataDxfId="153"/>
    <tableColumn id="7" xr3:uid="{CAFEBA6B-1B68-4EDB-8332-A2799005B6B1}" name="Obstacle 4" dataDxfId="152"/>
    <tableColumn id="8" xr3:uid="{926C1241-B94F-40A7-B282-CD6F76996C7A}" name="Obstacle 5" dataDxfId="151"/>
    <tableColumn id="9" xr3:uid="{D89E9BB4-4CD3-4EC5-8CEF-60598A0B939B}" name="Obstacle 6" dataDxfId="150"/>
    <tableColumn id="10" xr3:uid="{AD34941F-16BF-463F-8DE8-2784A51CC17B}" name="Obstacle 7" dataDxfId="149"/>
    <tableColumn id="11" xr3:uid="{168E6882-FCA2-46B0-A0CE-505B373712AE}" name="Obstacle 8" dataDxfId="148"/>
    <tableColumn id="12" xr3:uid="{2A256E13-08B9-47A7-B08F-3618CB48F34C}" name="Obstacle 9" dataDxfId="147"/>
    <tableColumn id="13" xr3:uid="{7A683F3C-9533-474D-8CB1-62A7FA8F9322}" name="Obstacle 10" dataDxfId="146"/>
    <tableColumn id="14" xr3:uid="{D3D14C89-784D-48DB-82CD-8D20229BA9E6}" name="Deductions for circling/time faults" dataDxfId="145"/>
    <tableColumn id="29" xr3:uid="{31C9AF7F-FC4C-4773-89A1-12146F270B5B}" name="Canter time" dataDxfId="144"/>
    <tableColumn id="30" xr3:uid="{24ED40A2-F241-4DFD-9319-AE095766F446}" name="Outside/Broke (O/B)" dataDxfId="143"/>
    <tableColumn id="16" xr3:uid="{B564A5C6-FD0D-48BB-8578-92A1882D4130}" name="Total Canter" dataDxfId="142">
      <calculatedColumnFormula>IF(C11="","",IF(OR(Table6[[#This Row],[Outside/Broke (O/B)]]="O",Table6[[#This Row],[Outside/Broke (O/B)]]="B"),0,VLOOKUP((V11/MAlength*150),CanterScore,2,TRUE)))</calculatedColumnFormula>
    </tableColumn>
    <tableColumn id="32" xr3:uid="{BD17A74B-C1FF-495B-B6EB-3604FFBDE97F}" name="Walk time" dataDxfId="141"/>
    <tableColumn id="31" xr3:uid="{83FBE81C-060B-416E-94FC-DFD6EDA1D763}" name="Outside/Broke (O/B)2" dataDxfId="140"/>
    <tableColumn id="17" xr3:uid="{125E9AA5-2590-4EFC-9C38-1B33D419A9AF}" name="Total Walk" dataDxfId="139">
      <calculatedColumnFormula>IF(C11="","",IF(OR(Table6[[#This Row],[Outside/Broke (O/B)2]]="O",Table6[[#This Row],[Outside/Broke (O/B)2]]="B"),0,IF((Y11/MAlength*150)=0, 0,IF((Y11/MAlength*150)&lt;'MA calc'!$A$4, 15, VLOOKUP((Y11/MAlength*150),WalkScore,2,TRUE)))))</calculatedColumnFormula>
    </tableColumn>
    <tableColumn id="21" xr3:uid="{C2F9C3C0-9419-4AB9-8B55-F9B00E166072}" name="." dataDxfId="138"/>
  </tableColumns>
  <tableStyleInfo name="TableStyleMedium4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B7C9B883-881C-4751-8748-EE0C294B8B72}" name="Table7" displayName="Table7" ref="A10:AB35" totalsRowShown="0" headerRowDxfId="137" dataDxfId="136">
  <tableColumns count="28">
    <tableColumn id="1" xr3:uid="{DB9CBB40-8784-4F38-947D-D985401D7CF4}" name="INSURED BY" dataDxfId="135"/>
    <tableColumn id="34" xr3:uid="{4CFDC01C-A258-43B6-8CFA-E1C52D062907}" name="AMOUNT" dataDxfId="134"/>
    <tableColumn id="33" xr3:uid="{0001DF7C-D323-40A6-A963-618F8634A9B3}" name="RIDER" dataDxfId="133"/>
    <tableColumn id="2" xr3:uid="{1E727007-DA1B-4F06-9DA9-6EBEF07EBD08}" name="TREC GB #/ CLUB #" dataDxfId="132"/>
    <tableColumn id="24" xr3:uid="{3F9DDADD-CC77-4B79-907D-97E6C14DB98F}" name="JUNIOR MEMBER (Y/N)" dataDxfId="131"/>
    <tableColumn id="3" xr3:uid="{DFCCCA23-2350-4F6B-A32D-6CA4C330451E}" name="HORSE_x000a_(very important)" dataDxfId="130"/>
    <tableColumn id="27" xr3:uid="{1DCEF323-CDBC-43C0-B227-79B7C9C78DA9}" name="POSITION" dataDxfId="129">
      <calculatedColumnFormula>IF(H11="E","E",(IF(C11="","",_xlfn.RANK.EQ($H11,$H$11:$H$35)+COUNTIFS($H$11:$H$35,$H11,$J$11:$J$35,"&gt;"&amp;$J11))))</calculatedColumnFormula>
    </tableColumn>
    <tableColumn id="26" xr3:uid="{7F1A61F4-4FC9-4754-8D03-AD6A84FA7E42}" name="GRAND TOTAL" dataDxfId="128">
      <calculatedColumnFormula>IF(Table7[[#This Row],[RIDER]]="","",IF((COUNTIF(J11, "E")), "E", (SUM(J11+I11))))</calculatedColumnFormula>
    </tableColumn>
    <tableColumn id="28" xr3:uid="{D9C23217-B210-4E84-95ED-ABD1FAC58F1E}" name="MA TOTAL" dataDxfId="127">
      <calculatedColumnFormula>IF(Table7[[#This Row],[RIDER]]="","",SUM(X11,AA11))</calculatedColumnFormula>
    </tableColumn>
    <tableColumn id="25" xr3:uid="{9708B737-BA91-416C-AEED-D085DE997EB0}" name="PTV_x000a_TOTAL" dataDxfId="126">
      <calculatedColumnFormula>IF(Table7[[#This Row],[RIDER]]="","",IF(COUNTIF(K11:T11, "E"), "E", (SUM(K11:T11)-U11)))</calculatedColumnFormula>
    </tableColumn>
    <tableColumn id="4" xr3:uid="{5B7AA30A-659E-4C2C-BF4B-3C4B8E7C6742}" name="Obstacle 1" dataDxfId="125"/>
    <tableColumn id="5" xr3:uid="{1F2A1C92-D485-47C3-8825-61B960BFE83A}" name="Obstacle 2" dataDxfId="124"/>
    <tableColumn id="6" xr3:uid="{93AB9791-92B0-4A44-B6EE-92671900D04B}" name="Obstacle 3" dataDxfId="123"/>
    <tableColumn id="7" xr3:uid="{40AB1374-F607-49C0-8C38-EE83D201B03B}" name="Obstacle 4" dataDxfId="122"/>
    <tableColumn id="8" xr3:uid="{E2342C6C-849C-41C6-8738-952396267C8C}" name="Obstacle 5" dataDxfId="121"/>
    <tableColumn id="9" xr3:uid="{000372C1-E51E-4906-88EF-01D743A5DBB7}" name="Obstacle 6" dataDxfId="120"/>
    <tableColumn id="10" xr3:uid="{05AFE85F-8B13-4FB8-BBE8-126815FD3BCB}" name="Obstacle 7" dataDxfId="119"/>
    <tableColumn id="11" xr3:uid="{0F73ABEF-9989-43E1-84EA-8553EF0D34AB}" name="Obstacle 8" dataDxfId="118"/>
    <tableColumn id="12" xr3:uid="{D0E573F2-B044-4CF0-B47E-11E61E5FF851}" name="Obstacle 9" dataDxfId="117"/>
    <tableColumn id="13" xr3:uid="{6256213B-382F-4664-910E-94D7FD4DE098}" name="Obstacle 10" dataDxfId="116"/>
    <tableColumn id="14" xr3:uid="{5FE4D806-FEA7-409C-8846-05FDCAA4623B}" name="Deductions for circling/time faults" dataDxfId="115"/>
    <tableColumn id="29" xr3:uid="{A77D08F5-26E6-49A4-8301-BC7C1DB7AAD1}" name="Canter time" dataDxfId="114"/>
    <tableColumn id="30" xr3:uid="{472A0369-FA64-45DA-8F58-634248333713}" name="Outside/Broke (O/B)" dataDxfId="113"/>
    <tableColumn id="16" xr3:uid="{5FF5CD12-5677-4DE4-824B-963FCF735516}" name="Total Canter" dataDxfId="112">
      <calculatedColumnFormula>IF(C11="","",IF(OR(Table7[[#This Row],[Outside/Broke (O/B)]]="O",Table7[[#This Row],[Outside/Broke (O/B)]]="B"),0,VLOOKUP((V11/MAlength*150),CanterScore,2,TRUE)))</calculatedColumnFormula>
    </tableColumn>
    <tableColumn id="32" xr3:uid="{F17D2862-2398-4D53-B201-3AD9DAF63C58}" name="Walk time" dataDxfId="111"/>
    <tableColumn id="31" xr3:uid="{6F08BB5A-F117-4EA9-9821-4B44C7833FA9}" name="Outside/Broke (O/B)2" dataDxfId="110"/>
    <tableColumn id="17" xr3:uid="{C2E5263A-3E02-436B-87D6-5EC14EE6BBE2}" name="Total Walk" dataDxfId="109">
      <calculatedColumnFormula>IF(C11="","",IF(OR(Table7[[#This Row],[Outside/Broke (O/B)2]]="O",Table7[[#This Row],[Outside/Broke (O/B)2]]="B"),0,IF((Y11/MAlength*150)=0, 0,IF((Y11/MAlength*150)&lt;'MA calc'!$A$4, 15, VLOOKUP((Y11/MAlength*150),WalkScore,2,TRUE)))))</calculatedColumnFormula>
    </tableColumn>
    <tableColumn id="21" xr3:uid="{50001B17-65A5-4E4B-B024-8C7667264860}" name="." dataDxfId="108"/>
  </tableColumns>
  <tableStyleInfo name="TableStyleMedium4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9639424D-4FA5-4844-A695-003EA202646B}" name="Table8" displayName="Table8" ref="A10:AB35" totalsRowShown="0" headerRowDxfId="107" dataDxfId="106">
  <tableColumns count="28">
    <tableColumn id="1" xr3:uid="{A55CBC8B-E2A9-4BEB-B854-0F242B274AD8}" name="INSURED BY" dataDxfId="105"/>
    <tableColumn id="34" xr3:uid="{C974F3FD-E170-4263-A193-7587374FAC56}" name="AMOUNT" dataDxfId="104"/>
    <tableColumn id="33" xr3:uid="{8AB67390-F290-4FCD-8482-E5C1FED57786}" name="RIDER" dataDxfId="103"/>
    <tableColumn id="2" xr3:uid="{5AC8BDBA-CF9D-4828-B76B-9F3AFF22E6AD}" name="TREC GB #/ CLUB #" dataDxfId="102"/>
    <tableColumn id="24" xr3:uid="{62D7117A-E1FE-49E2-914C-AFBCA461D6A7}" name="JUNIOR MEMBER (Y/N)" dataDxfId="101"/>
    <tableColumn id="3" xr3:uid="{2C09CF69-6222-4536-AB0B-4BEB59D74758}" name="HORSE_x000a_(very important)" dataDxfId="100"/>
    <tableColumn id="27" xr3:uid="{4AA5DBEB-0200-4536-995A-513C1A8E7C48}" name="POSITION" dataDxfId="99">
      <calculatedColumnFormula>IF(H11="E","E",(IF(C11="","",_xlfn.RANK.EQ($H11,$H$11:$H$35)+COUNTIFS($H$11:$H$35,$H11,$J$11:$J$35,"&gt;"&amp;$J11))))</calculatedColumnFormula>
    </tableColumn>
    <tableColumn id="26" xr3:uid="{4D63FC83-20F8-4C8B-868E-E70DCF10095C}" name="GRAND TOTAL" dataDxfId="98">
      <calculatedColumnFormula>IF(Table8[[#This Row],[RIDER]]="","",IF((COUNTIF(J11, "E")), "E", (SUM(J11+I11))))</calculatedColumnFormula>
    </tableColumn>
    <tableColumn id="28" xr3:uid="{8AC5ABB3-A05F-4D74-AC66-1446D274AE69}" name="MA TOTAL" dataDxfId="97">
      <calculatedColumnFormula>IF(Table8[[#This Row],[RIDER]]="","",SUM(X11,AA11))</calculatedColumnFormula>
    </tableColumn>
    <tableColumn id="25" xr3:uid="{FA221690-E6DB-40AA-B96D-4E3F273DF1FD}" name="PTV_x000a_TOTAL" dataDxfId="96">
      <calculatedColumnFormula>IF(Table8[[#This Row],[RIDER]]="","",IF(COUNTIF(K11:T11, "E"), "E", (SUM(K11:T11)-U11)))</calculatedColumnFormula>
    </tableColumn>
    <tableColumn id="4" xr3:uid="{CB76712C-5453-4A1B-9122-C9C01AEAD8C9}" name="Obstacle 1" dataDxfId="95"/>
    <tableColumn id="5" xr3:uid="{2A24BF16-BF3E-4C61-B47F-7EB1DB3620B5}" name="Obstacle 2" dataDxfId="94"/>
    <tableColumn id="6" xr3:uid="{412C893E-379C-49C4-9980-ECCCC10BDA11}" name="Obstacle 3" dataDxfId="93"/>
    <tableColumn id="7" xr3:uid="{718AEB49-5EE2-4FCA-9B71-334E903E64CA}" name="Obstacle 4" dataDxfId="92"/>
    <tableColumn id="8" xr3:uid="{D0541F07-18DB-40EF-BF01-374DE65E567B}" name="Obstacle 5" dataDxfId="91"/>
    <tableColumn id="9" xr3:uid="{2012ED8F-8F0B-4896-84EA-0C4B15D4EF3C}" name="Obstacle 6" dataDxfId="90"/>
    <tableColumn id="10" xr3:uid="{4169D61D-A652-4512-8902-D05DB1D5E135}" name="Obstacle 7" dataDxfId="89"/>
    <tableColumn id="11" xr3:uid="{71478802-D9A2-4E0F-BB2A-BE18654E5ADC}" name="Obstacle 8" dataDxfId="88"/>
    <tableColumn id="12" xr3:uid="{061E3886-2978-48D8-ACF4-23F1C32FB01E}" name="Obstacle 9" dataDxfId="87"/>
    <tableColumn id="13" xr3:uid="{109D86F3-01C5-48B5-8D01-FC3F4F0DF91F}" name="Obstacle 10" dataDxfId="86"/>
    <tableColumn id="14" xr3:uid="{6CB7B613-8C69-4A70-BF92-4CC197A1A56D}" name="Deductions for circling/time faults" dataDxfId="85"/>
    <tableColumn id="29" xr3:uid="{9D32970C-D561-4C03-BC49-87E0039E0CEE}" name="Canter time" dataDxfId="84"/>
    <tableColumn id="30" xr3:uid="{B7A9E206-4CE8-4C5B-92CB-9B4BF643E6B9}" name="Outside/Broke (O/B)" dataDxfId="83"/>
    <tableColumn id="16" xr3:uid="{72BBA5B6-3649-4B1B-A0D3-B8AFE99A30ED}" name="Total Canter" dataDxfId="82">
      <calculatedColumnFormula>IF(C11="","",IF(OR(Table8[[#This Row],[Outside/Broke (O/B)]]="O",Table8[[#This Row],[Outside/Broke (O/B)]]="B"),0,VLOOKUP((V11/MAlength*150),CanterScore,2,TRUE)))</calculatedColumnFormula>
    </tableColumn>
    <tableColumn id="32" xr3:uid="{A1ED3028-17D4-4977-A7F2-A0D5A3271AC7}" name="Walk time" dataDxfId="81"/>
    <tableColumn id="31" xr3:uid="{AEBEDD69-393A-46D0-8955-053D6AF3D3BA}" name="Outside/Broke (O/B)2" dataDxfId="80"/>
    <tableColumn id="17" xr3:uid="{EC692A01-6CFA-478C-86BD-C3B17D95682E}" name="Total Walk" dataDxfId="79">
      <calculatedColumnFormula>IF(C11="","",IF(OR(Table8[[#This Row],[Outside/Broke (O/B)2]]="O",Table8[[#This Row],[Outside/Broke (O/B)2]]="B"),0,IF((Y11/MAlength*150)=0, 0,IF((Y11/MAlength*150)&lt;'MA calc'!$A$4, 15, VLOOKUP((Y11/MAlength*150),WalkScore,2,TRUE)))))</calculatedColumnFormula>
    </tableColumn>
    <tableColumn id="21" xr3:uid="{4CDD9C5A-0F92-4617-B930-BD2FE15983DB}" name="." dataDxfId="78"/>
  </tableColumns>
  <tableStyleInfo name="TableStyleMedium4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A8076275-3A0C-4FFC-9191-EE95C3230F5A}" name="Table9" displayName="Table9" ref="A10:AB35" totalsRowShown="0" headerRowDxfId="77" dataDxfId="76">
  <tableColumns count="28">
    <tableColumn id="1" xr3:uid="{F2A3A23A-6F65-4B7A-9D52-B348E6F8C2F1}" name="INSURED BY" dataDxfId="75"/>
    <tableColumn id="34" xr3:uid="{4A8C0BCB-A6FB-4F59-930C-ECF0F4A46BE8}" name="AMOUNT" dataDxfId="74"/>
    <tableColumn id="33" xr3:uid="{1187DF82-BBE3-4C93-8364-AB84088716A6}" name="RIDER" dataDxfId="73"/>
    <tableColumn id="2" xr3:uid="{236F6861-0550-4323-A109-16354CBD816E}" name="TREC GB #/ CLUB #" dataDxfId="72"/>
    <tableColumn id="24" xr3:uid="{656AADCA-EEBA-488C-B6C6-1C1BC5AFB60D}" name="JUNIOR MEMBER (Y/N)" dataDxfId="71"/>
    <tableColumn id="3" xr3:uid="{4CA9F273-47EC-4431-9E3B-3F432D50D188}" name="HORSE_x000a_(very important)" dataDxfId="70"/>
    <tableColumn id="27" xr3:uid="{254E61BD-CDD0-4C62-B6C0-595E6526C3A6}" name="POSITION" dataDxfId="69">
      <calculatedColumnFormula>IF(H11="E","E",(IF(C11="","",_xlfn.RANK.EQ($H11,$H$11:$H$35)+COUNTIFS($H$11:$H$35,$H11,$J$11:$J$35,"&gt;"&amp;$J11))))</calculatedColumnFormula>
    </tableColumn>
    <tableColumn id="26" xr3:uid="{653F4F56-FB45-4037-8A05-E1676919D20C}" name="GRAND TOTAL" dataDxfId="68">
      <calculatedColumnFormula>IF(Table9[[#This Row],[RIDER]]="","",IF((COUNTIF(J11, "E")), "E", (SUM(J11+I11))))</calculatedColumnFormula>
    </tableColumn>
    <tableColumn id="28" xr3:uid="{7355DCE5-4BD8-4868-8366-269AC2CCB50A}" name="MA TOTAL" dataDxfId="67">
      <calculatedColumnFormula>IF(Table9[[#This Row],[RIDER]]="","",SUM(X11,AA11))</calculatedColumnFormula>
    </tableColumn>
    <tableColumn id="25" xr3:uid="{200C4D09-0D83-44E1-8EA4-30A31978326E}" name="PTV_x000a_TOTAL" dataDxfId="66">
      <calculatedColumnFormula>IF(Table9[[#This Row],[RIDER]]="","",IF(COUNTIF(K11:T11, "E"), "E", (SUM(K11:T11)-U11)))</calculatedColumnFormula>
    </tableColumn>
    <tableColumn id="4" xr3:uid="{ECA2CBA3-512A-40F7-86B5-71DC8FC9D230}" name="Obstacle 1" dataDxfId="65"/>
    <tableColumn id="5" xr3:uid="{EF35FB2C-8891-4F7E-9A16-DAF935A36CC4}" name="Obstacle 2" dataDxfId="64"/>
    <tableColumn id="6" xr3:uid="{B5F95BF7-1E19-4CF8-9433-6D4982BAC053}" name="Obstacle 3" dataDxfId="63"/>
    <tableColumn id="7" xr3:uid="{BD30FBEE-FB6E-46F1-A01C-11BADC958778}" name="Obstacle 4" dataDxfId="62"/>
    <tableColumn id="8" xr3:uid="{0FFC7FA4-994E-4020-86FB-029741B23165}" name="Obstacle 5" dataDxfId="61"/>
    <tableColumn id="9" xr3:uid="{359275F1-0E61-4624-866F-FD737F90BEAD}" name="Obstacle 6" dataDxfId="60"/>
    <tableColumn id="10" xr3:uid="{23C1D6ED-8938-49D3-BE22-20F01D0AEA76}" name="Obstacle 7" dataDxfId="59"/>
    <tableColumn id="11" xr3:uid="{EC62BEAC-7194-4B90-B9CB-6B5A489F05BA}" name="Obstacle 8" dataDxfId="58"/>
    <tableColumn id="12" xr3:uid="{930A1D9E-BFE5-49C9-86BD-43667A56B92B}" name="Obstacle 9" dataDxfId="57"/>
    <tableColumn id="13" xr3:uid="{BE4BCA81-D54A-470D-8B55-861C461AA1DB}" name="Obstacle 10" dataDxfId="56"/>
    <tableColumn id="14" xr3:uid="{2A522221-DE85-4F04-BB7C-EF85BBA1E5D8}" name="Deductions for circling/time faults" dataDxfId="55"/>
    <tableColumn id="29" xr3:uid="{D14F6FA6-57FF-468A-AFCD-BB736C21CE63}" name="Canter time" dataDxfId="54"/>
    <tableColumn id="30" xr3:uid="{EF13D3F5-41F2-415D-9FA1-322D215F4866}" name="Outside/Broke (O/B)" dataDxfId="53"/>
    <tableColumn id="16" xr3:uid="{4FB82705-6218-4AA0-BCAE-489A62AB3116}" name="Total Canter" dataDxfId="52">
      <calculatedColumnFormula>IF(C11="","",IF(OR(Table9[[#This Row],[Outside/Broke (O/B)]]="O",Table9[[#This Row],[Outside/Broke (O/B)]]="B"),0,VLOOKUP((V11/MAlength*150),CanterScore,2,TRUE)))</calculatedColumnFormula>
    </tableColumn>
    <tableColumn id="32" xr3:uid="{BC26EB83-DDCB-4A87-91FC-E4647D4788E1}" name="Walk time" dataDxfId="51"/>
    <tableColumn id="31" xr3:uid="{6E656D29-9D39-454A-948F-D6C5CC55508E}" name="Outside/Broke (O/B)2" dataDxfId="50"/>
    <tableColumn id="17" xr3:uid="{6F7C5B11-ACD6-4435-B122-BD46D9449C57}" name="Total Walk" dataDxfId="49">
      <calculatedColumnFormula>IF(C11="","",IF(OR(Table9[[#This Row],[Outside/Broke (O/B)2]]="O",Table9[[#This Row],[Outside/Broke (O/B)2]]="B"),0,IF((Y11/MAlength*150)=0, 0,IF((Y11/MAlength*150)&lt;'MA calc'!$A$4, 15, VLOOKUP((Y11/MAlength*150),WalkScore,2,TRUE)))))</calculatedColumnFormula>
    </tableColumn>
    <tableColumn id="21" xr3:uid="{3CE994F0-33C7-42A4-83E4-F25023F9E240}" name="." dataDxfId="48"/>
  </tableColumns>
  <tableStyleInfo name="TableStyleMedium4" showFirstColumn="0" showLastColumn="0" showRowStripes="1" showColumnStripes="0"/>
</table>
</file>

<file path=xl/theme/_rels/theme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Mesh">
  <a:themeElements>
    <a:clrScheme name="Aspect">
      <a:dk1>
        <a:sysClr val="windowText" lastClr="000000"/>
      </a:dk1>
      <a:lt1>
        <a:sysClr val="window" lastClr="FFFFFF"/>
      </a:lt1>
      <a:dk2>
        <a:srgbClr val="323232"/>
      </a:dk2>
      <a:lt2>
        <a:srgbClr val="E3DED1"/>
      </a:lt2>
      <a:accent1>
        <a:srgbClr val="F07F09"/>
      </a:accent1>
      <a:accent2>
        <a:srgbClr val="9F2936"/>
      </a:accent2>
      <a:accent3>
        <a:srgbClr val="1B587C"/>
      </a:accent3>
      <a:accent4>
        <a:srgbClr val="4E8542"/>
      </a:accent4>
      <a:accent5>
        <a:srgbClr val="604878"/>
      </a:accent5>
      <a:accent6>
        <a:srgbClr val="C19859"/>
      </a:accent6>
      <a:hlink>
        <a:srgbClr val="6B9F25"/>
      </a:hlink>
      <a:folHlink>
        <a:srgbClr val="B26B02"/>
      </a:folHlink>
    </a:clrScheme>
    <a:fontScheme name="Mesh">
      <a:majorFont>
        <a:latin typeface="Century Gothic" panose="020B0502020202020204"/>
        <a:ea typeface=""/>
        <a:cs typeface=""/>
        <a:font script="Jpan" typeface="ＭＳ ゴシック"/>
        <a:font script="Hang" typeface="맑은 고딕"/>
        <a:font script="Hans" typeface="宋体"/>
        <a:font script="Hant" typeface="新細明體"/>
        <a:font script="Arab" typeface="Tahoma"/>
        <a:font script="Hebr" typeface="Gisha"/>
        <a:font script="Thai" typeface="DilleniaUPC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ahoma"/>
        <a:font script="Uigh" typeface="Microsoft Uighur"/>
        <a:font script="Geor" typeface="Sylfaen"/>
      </a:majorFont>
      <a:minorFont>
        <a:latin typeface="Century Gothic" panose="020B0502020202020204"/>
        <a:ea typeface=""/>
        <a:cs typeface=""/>
        <a:font script="Jpan" typeface="ＭＳ ゴシック"/>
        <a:font script="Hang" typeface="맑은 고딕"/>
        <a:font script="Hans" typeface="宋体"/>
        <a:font script="Hant" typeface="新細明體"/>
        <a:font script="Arab" typeface="Tahoma"/>
        <a:font script="Hebr" typeface="Gisha"/>
        <a:font script="Thai" typeface="DilleniaUPC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Verdana"/>
        <a:font script="Uigh" typeface="Microsoft Uighur"/>
        <a:font script="Geor" typeface="Sylfaen"/>
      </a:minorFont>
    </a:fontScheme>
    <a:fmtScheme name="Mesh">
      <a:fillStyleLst>
        <a:solidFill>
          <a:schemeClr val="phClr"/>
        </a:solidFill>
        <a:gradFill rotWithShape="1">
          <a:gsLst>
            <a:gs pos="0">
              <a:schemeClr val="phClr">
                <a:tint val="60000"/>
                <a:lumMod val="110000"/>
              </a:schemeClr>
            </a:gs>
            <a:gs pos="100000">
              <a:schemeClr val="phClr">
                <a:tint val="82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tint val="96000"/>
                <a:lumMod val="104000"/>
              </a:schemeClr>
            </a:gs>
            <a:gs pos="100000">
              <a:schemeClr val="phClr">
                <a:shade val="84000"/>
                <a:lumMod val="84000"/>
              </a:schemeClr>
            </a:gs>
          </a:gsLst>
          <a:lin ang="5400000" scaled="0"/>
        </a:gradFill>
      </a:fillStyleLst>
      <a:lnStyleLst>
        <a:ln w="9525" cap="rnd" cmpd="sng" algn="ctr">
          <a:solidFill>
            <a:schemeClr val="phClr"/>
          </a:solidFill>
          <a:prstDash val="solid"/>
        </a:ln>
        <a:ln w="19050" cap="rnd" cmpd="sng" algn="ctr">
          <a:solidFill>
            <a:schemeClr val="phClr"/>
          </a:solidFill>
          <a:prstDash val="solid"/>
        </a:ln>
        <a:ln w="25400" cap="rnd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>
            <a:innerShdw blurRad="50800" dist="25400" dir="13500000">
              <a:srgbClr val="000000">
                <a:alpha val="55000"/>
              </a:srgbClr>
            </a:innerShdw>
          </a:effectLst>
        </a:effectStyle>
        <a:effectStyle>
          <a:effectLst>
            <a:outerShdw blurRad="50800" dist="38100" dir="5400000" rotWithShape="0">
              <a:srgbClr val="000000">
                <a:alpha val="60000"/>
              </a:srgbClr>
            </a:outerShdw>
          </a:effectLst>
          <a:scene3d>
            <a:camera prst="orthographicFront">
              <a:rot lat="0" lon="0" rev="0"/>
            </a:camera>
            <a:lightRig rig="threePt" dir="tl"/>
          </a:scene3d>
          <a:sp3d>
            <a:bevelT w="25400" h="25400" prst="slope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90000"/>
                <a:lumMod val="110000"/>
              </a:schemeClr>
            </a:gs>
            <a:gs pos="100000">
              <a:schemeClr val="phClr">
                <a:shade val="64000"/>
                <a:lumMod val="98000"/>
              </a:schemeClr>
            </a:gs>
          </a:gsLst>
          <a:lin ang="5400000" scaled="0"/>
        </a:gradFill>
        <a:blipFill rotWithShape="1">
          <a:blip xmlns:r="http://schemas.openxmlformats.org/officeDocument/2006/relationships" r:embed="rId1">
            <a:duotone>
              <a:schemeClr val="phClr">
                <a:shade val="28000"/>
                <a:satMod val="94000"/>
                <a:lumMod val="20000"/>
              </a:schemeClr>
              <a:schemeClr val="phClr">
                <a:tint val="94000"/>
                <a:shade val="84000"/>
                <a:satMod val="148000"/>
                <a:lumMod val="114000"/>
              </a:schemeClr>
            </a:duotone>
          </a:blip>
          <a:stretch/>
        </a:blip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Mesh" id="{789EC3FE-34FD-429C-9918-760025E6C145}" vid="{B8BE45C0-8141-4D58-8C71-A009BC26FBBB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7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8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9.x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0.x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5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6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354023-FB56-440D-BDCA-33A60C6206D7}">
  <sheetPr codeName="Sheet4">
    <tabColor theme="5" tint="-0.249977111117893"/>
  </sheetPr>
  <dimension ref="A1:M15"/>
  <sheetViews>
    <sheetView workbookViewId="0">
      <selection activeCell="A3" sqref="A3:M3"/>
    </sheetView>
  </sheetViews>
  <sheetFormatPr defaultRowHeight="13.8" x14ac:dyDescent="0.25"/>
  <sheetData>
    <row r="1" spans="1:13" s="6" customFormat="1" ht="31.2" x14ac:dyDescent="0.6">
      <c r="A1" s="6" t="s">
        <v>0</v>
      </c>
    </row>
    <row r="3" spans="1:13" ht="48" customHeight="1" x14ac:dyDescent="0.25">
      <c r="A3" s="58" t="s">
        <v>1</v>
      </c>
      <c r="B3" s="58"/>
      <c r="C3" s="58"/>
      <c r="D3" s="58"/>
      <c r="E3" s="58"/>
      <c r="F3" s="58"/>
      <c r="G3" s="58"/>
      <c r="H3" s="58"/>
      <c r="I3" s="58"/>
      <c r="J3" s="58"/>
      <c r="K3" s="58"/>
      <c r="L3" s="58"/>
      <c r="M3" s="58"/>
    </row>
    <row r="4" spans="1:13" ht="48" customHeight="1" x14ac:dyDescent="0.25">
      <c r="A4" s="58" t="s">
        <v>58</v>
      </c>
      <c r="B4" s="58"/>
      <c r="C4" s="58"/>
      <c r="D4" s="58"/>
      <c r="E4" s="58"/>
      <c r="F4" s="58"/>
      <c r="G4" s="58"/>
      <c r="H4" s="58"/>
      <c r="I4" s="58"/>
      <c r="J4" s="58"/>
      <c r="K4" s="58"/>
      <c r="L4" s="58"/>
      <c r="M4" s="58"/>
    </row>
    <row r="5" spans="1:13" ht="48" customHeight="1" x14ac:dyDescent="0.25">
      <c r="A5" s="58" t="s">
        <v>2</v>
      </c>
      <c r="B5" s="58"/>
      <c r="C5" s="58"/>
      <c r="D5" s="58"/>
      <c r="E5" s="58"/>
      <c r="F5" s="58"/>
      <c r="G5" s="58"/>
      <c r="H5" s="58"/>
      <c r="I5" s="58"/>
      <c r="J5" s="58"/>
      <c r="K5" s="58"/>
      <c r="L5" s="58"/>
      <c r="M5" s="58"/>
    </row>
    <row r="6" spans="1:13" ht="48" customHeight="1" x14ac:dyDescent="0.25">
      <c r="A6" s="58" t="s">
        <v>3</v>
      </c>
      <c r="B6" s="58"/>
      <c r="C6" s="58"/>
      <c r="D6" s="58"/>
      <c r="E6" s="58"/>
      <c r="F6" s="58"/>
      <c r="G6" s="58"/>
      <c r="H6" s="58"/>
      <c r="I6" s="58"/>
      <c r="J6" s="58"/>
      <c r="K6" s="58"/>
      <c r="L6" s="58"/>
      <c r="M6" s="58"/>
    </row>
    <row r="7" spans="1:13" ht="48" customHeight="1" x14ac:dyDescent="0.25">
      <c r="A7" s="59" t="s">
        <v>59</v>
      </c>
      <c r="B7" s="59"/>
      <c r="C7" s="59"/>
      <c r="D7" s="59"/>
      <c r="E7" s="59"/>
      <c r="F7" s="59"/>
      <c r="G7" s="59"/>
      <c r="H7" s="59"/>
      <c r="I7" s="59"/>
      <c r="J7" s="59"/>
      <c r="K7" s="59"/>
      <c r="L7" s="59"/>
      <c r="M7" s="59"/>
    </row>
    <row r="8" spans="1:13" ht="48" customHeight="1" x14ac:dyDescent="0.25">
      <c r="A8" s="59" t="s">
        <v>57</v>
      </c>
      <c r="B8" s="59"/>
      <c r="C8" s="59"/>
      <c r="D8" s="59"/>
      <c r="E8" s="59"/>
      <c r="F8" s="59"/>
      <c r="G8" s="59"/>
      <c r="H8" s="59"/>
      <c r="I8" s="59"/>
      <c r="J8" s="59"/>
      <c r="K8" s="59"/>
      <c r="L8" s="59"/>
      <c r="M8" s="59"/>
    </row>
    <row r="9" spans="1:13" ht="48" customHeight="1" x14ac:dyDescent="0.25">
      <c r="A9" s="56"/>
      <c r="B9" s="56"/>
      <c r="C9" s="56"/>
      <c r="D9" s="56"/>
      <c r="E9" s="56"/>
      <c r="F9" s="56"/>
      <c r="G9" s="56"/>
      <c r="H9" s="56"/>
      <c r="I9" s="56"/>
      <c r="J9" s="56"/>
      <c r="K9" s="56"/>
      <c r="L9" s="56"/>
      <c r="M9" s="56"/>
    </row>
    <row r="10" spans="1:13" ht="106.5" customHeight="1" x14ac:dyDescent="0.25">
      <c r="A10" s="57"/>
      <c r="B10" s="56"/>
      <c r="C10" s="56"/>
      <c r="D10" s="56"/>
      <c r="E10" s="56"/>
      <c r="F10" s="56"/>
      <c r="G10" s="56"/>
      <c r="H10" s="56"/>
      <c r="I10" s="56"/>
      <c r="J10" s="56"/>
      <c r="K10" s="56"/>
      <c r="L10" s="56"/>
      <c r="M10" s="56"/>
    </row>
    <row r="13" spans="1:13" x14ac:dyDescent="0.25">
      <c r="A13" s="54" t="s">
        <v>4</v>
      </c>
      <c r="B13" s="55"/>
      <c r="C13" s="55"/>
      <c r="D13" s="55"/>
      <c r="E13" s="55"/>
      <c r="F13" s="55"/>
      <c r="G13" s="55"/>
      <c r="H13" s="55"/>
      <c r="I13" s="55"/>
      <c r="J13" s="55"/>
      <c r="K13" s="55"/>
      <c r="L13" s="55"/>
      <c r="M13" s="55"/>
    </row>
    <row r="14" spans="1:13" x14ac:dyDescent="0.25">
      <c r="A14" s="55"/>
      <c r="B14" s="55"/>
      <c r="C14" s="55"/>
      <c r="D14" s="55"/>
      <c r="E14" s="55"/>
      <c r="F14" s="55"/>
      <c r="G14" s="55"/>
      <c r="H14" s="55"/>
      <c r="I14" s="55"/>
      <c r="J14" s="55"/>
      <c r="K14" s="55"/>
      <c r="L14" s="55"/>
      <c r="M14" s="55"/>
    </row>
    <row r="15" spans="1:13" x14ac:dyDescent="0.25">
      <c r="A15" s="55"/>
      <c r="B15" s="55"/>
      <c r="C15" s="55"/>
      <c r="D15" s="55"/>
      <c r="E15" s="55"/>
      <c r="F15" s="55"/>
      <c r="G15" s="55"/>
      <c r="H15" s="55"/>
      <c r="I15" s="55"/>
      <c r="J15" s="55"/>
      <c r="K15" s="55"/>
      <c r="L15" s="55"/>
      <c r="M15" s="55"/>
    </row>
  </sheetData>
  <sheetProtection selectLockedCells="1" selectUnlockedCells="1"/>
  <mergeCells count="9">
    <mergeCell ref="A13:M15"/>
    <mergeCell ref="A9:M9"/>
    <mergeCell ref="A10:M10"/>
    <mergeCell ref="A3:M3"/>
    <mergeCell ref="A5:M5"/>
    <mergeCell ref="A6:M6"/>
    <mergeCell ref="A7:M7"/>
    <mergeCell ref="A4:M4"/>
    <mergeCell ref="A8:M8"/>
  </mergeCells>
  <phoneticPr fontId="7" type="noConversion"/>
  <pageMargins left="0.75" right="0.75" top="1" bottom="1" header="0.5" footer="0.5"/>
  <pageSetup paperSize="9" orientation="portrait" verticalDpi="300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93AC74-027A-4EFD-BDA3-3C52888A8A0E}">
  <sheetPr>
    <pageSetUpPr fitToPage="1"/>
  </sheetPr>
  <dimension ref="A1:AB35"/>
  <sheetViews>
    <sheetView topLeftCell="A7" zoomScale="75" zoomScaleNormal="75" workbookViewId="0">
      <selection activeCell="O14" sqref="O14"/>
    </sheetView>
  </sheetViews>
  <sheetFormatPr defaultColWidth="8.69921875" defaultRowHeight="14.4" x14ac:dyDescent="0.3"/>
  <cols>
    <col min="1" max="1" width="17.19921875" style="14" bestFit="1" customWidth="1"/>
    <col min="2" max="2" width="14.3984375" style="14" bestFit="1" customWidth="1"/>
    <col min="3" max="3" width="15.69921875" style="14" bestFit="1" customWidth="1"/>
    <col min="4" max="4" width="19.19921875" style="14" bestFit="1" customWidth="1"/>
    <col min="5" max="5" width="12.8984375" style="14" customWidth="1"/>
    <col min="6" max="6" width="21.19921875" style="14" customWidth="1"/>
    <col min="7" max="7" width="17.19921875" style="14" bestFit="1" customWidth="1"/>
    <col min="8" max="8" width="11.3984375" style="1" customWidth="1"/>
    <col min="9" max="9" width="10.5" style="1" customWidth="1"/>
    <col min="10" max="10" width="12.5" style="14" bestFit="1" customWidth="1"/>
    <col min="11" max="11" width="8.69921875" style="14" customWidth="1"/>
    <col min="12" max="12" width="8.5" style="14" customWidth="1"/>
    <col min="13" max="15" width="6.69921875" style="14" customWidth="1"/>
    <col min="16" max="16" width="7.19921875" style="14" customWidth="1"/>
    <col min="17" max="21" width="6.69921875" style="14" customWidth="1"/>
    <col min="22" max="23" width="9" style="14" customWidth="1"/>
    <col min="24" max="24" width="6.69921875" style="1" customWidth="1"/>
    <col min="25" max="25" width="9" style="14" customWidth="1"/>
    <col min="26" max="27" width="6.69921875" style="1" customWidth="1"/>
    <col min="28" max="28" width="4.5" style="14" hidden="1" customWidth="1"/>
    <col min="29" max="29" width="23.09765625" style="14" customWidth="1"/>
    <col min="30" max="30" width="3.3984375" style="14" customWidth="1"/>
    <col min="31" max="31" width="2.59765625" style="14" customWidth="1"/>
    <col min="32" max="32" width="2.5" style="14" customWidth="1"/>
    <col min="33" max="33" width="8.69921875" style="14"/>
    <col min="34" max="34" width="8.69921875" style="14" customWidth="1"/>
    <col min="35" max="16384" width="8.69921875" style="14"/>
  </cols>
  <sheetData>
    <row r="1" spans="1:28" ht="3" customHeight="1" x14ac:dyDescent="0.3"/>
    <row r="2" spans="1:28" ht="23.4" customHeight="1" x14ac:dyDescent="0.45">
      <c r="A2" s="23"/>
      <c r="B2" s="23"/>
      <c r="F2" s="7" t="s">
        <v>14</v>
      </c>
      <c r="T2" s="1"/>
      <c r="U2" s="1"/>
    </row>
    <row r="3" spans="1:28" ht="14.55" customHeight="1" x14ac:dyDescent="0.3">
      <c r="A3" s="23"/>
      <c r="B3" s="23"/>
      <c r="I3" s="2"/>
      <c r="W3" s="1"/>
      <c r="Y3" s="1"/>
    </row>
    <row r="4" spans="1:28" ht="15.6" x14ac:dyDescent="0.3">
      <c r="A4" s="23"/>
      <c r="B4" s="23"/>
      <c r="F4" s="3"/>
      <c r="I4" s="2"/>
      <c r="M4" s="3"/>
      <c r="Y4" s="1"/>
    </row>
    <row r="5" spans="1:28" ht="14.55" customHeight="1" x14ac:dyDescent="0.3">
      <c r="A5" s="23"/>
      <c r="B5" s="23"/>
      <c r="L5" s="32"/>
      <c r="M5" s="33"/>
      <c r="N5" s="33"/>
      <c r="Y5" s="1"/>
    </row>
    <row r="6" spans="1:28" s="4" customFormat="1" ht="21" x14ac:dyDescent="0.4">
      <c r="A6" s="23"/>
      <c r="B6" s="23"/>
      <c r="C6" s="15" t="s">
        <v>8</v>
      </c>
      <c r="D6" s="63" t="str">
        <f>'Print All Summary'!B6</f>
        <v>Avon Riding Centre</v>
      </c>
      <c r="E6" s="63"/>
      <c r="F6" s="14"/>
      <c r="G6" s="22" t="s">
        <v>9</v>
      </c>
      <c r="H6" s="65">
        <f>'Print All Summary'!F6</f>
        <v>46068</v>
      </c>
      <c r="I6" s="65"/>
      <c r="K6" s="66" t="s">
        <v>15</v>
      </c>
      <c r="L6" s="66"/>
      <c r="M6" s="63" t="str">
        <f>'Print All Summary'!B7</f>
        <v>Wessex TREC</v>
      </c>
      <c r="N6" s="63"/>
      <c r="O6" s="63"/>
      <c r="P6" s="63"/>
      <c r="Q6" s="63"/>
      <c r="R6" s="63"/>
      <c r="S6" s="63"/>
      <c r="T6" s="63"/>
      <c r="U6" s="14"/>
      <c r="X6" s="1"/>
      <c r="Y6" s="1"/>
      <c r="Z6" s="1"/>
      <c r="AA6" s="1"/>
    </row>
    <row r="7" spans="1:28" s="4" customFormat="1" ht="30" customHeight="1" x14ac:dyDescent="0.4">
      <c r="A7" s="23"/>
      <c r="B7" s="23"/>
      <c r="C7" s="15" t="s">
        <v>16</v>
      </c>
      <c r="D7" s="64" t="s">
        <v>120</v>
      </c>
      <c r="E7" s="64"/>
      <c r="F7" s="14"/>
      <c r="H7" s="5"/>
      <c r="I7" s="5"/>
      <c r="U7" s="14"/>
      <c r="X7" s="1"/>
      <c r="Y7" s="1"/>
      <c r="Z7" s="1"/>
      <c r="AA7" s="1"/>
    </row>
    <row r="8" spans="1:28" s="4" customFormat="1" ht="21" x14ac:dyDescent="0.4">
      <c r="A8" s="23"/>
      <c r="B8" s="23"/>
      <c r="C8" s="15"/>
      <c r="D8" s="15"/>
      <c r="E8" s="15"/>
      <c r="H8" s="5"/>
      <c r="I8" s="5"/>
      <c r="X8" s="5"/>
      <c r="Z8" s="5"/>
      <c r="AA8" s="5"/>
    </row>
    <row r="9" spans="1:28" ht="15.6" x14ac:dyDescent="0.3">
      <c r="F9" s="16"/>
      <c r="K9" s="16"/>
      <c r="L9" s="16"/>
      <c r="M9" s="16"/>
      <c r="N9" s="16"/>
      <c r="O9" s="16"/>
      <c r="P9" s="16"/>
      <c r="Q9" s="16"/>
    </row>
    <row r="10" spans="1:28" s="34" customFormat="1" ht="122.55" customHeight="1" x14ac:dyDescent="0.25">
      <c r="A10" s="28" t="s">
        <v>18</v>
      </c>
      <c r="B10" s="29" t="s">
        <v>19</v>
      </c>
      <c r="C10" s="19" t="s">
        <v>20</v>
      </c>
      <c r="D10" s="20" t="s">
        <v>21</v>
      </c>
      <c r="E10" s="20" t="s">
        <v>22</v>
      </c>
      <c r="F10" s="20" t="s">
        <v>23</v>
      </c>
      <c r="G10" s="21" t="s">
        <v>24</v>
      </c>
      <c r="H10" s="21" t="s">
        <v>25</v>
      </c>
      <c r="I10" s="21" t="s">
        <v>26</v>
      </c>
      <c r="J10" s="27" t="s">
        <v>45</v>
      </c>
      <c r="K10" s="26" t="s">
        <v>28</v>
      </c>
      <c r="L10" s="26" t="s">
        <v>29</v>
      </c>
      <c r="M10" s="26" t="s">
        <v>30</v>
      </c>
      <c r="N10" s="26" t="s">
        <v>31</v>
      </c>
      <c r="O10" s="26" t="s">
        <v>32</v>
      </c>
      <c r="P10" s="26" t="s">
        <v>33</v>
      </c>
      <c r="Q10" s="26" t="s">
        <v>34</v>
      </c>
      <c r="R10" s="26" t="s">
        <v>35</v>
      </c>
      <c r="S10" s="26" t="s">
        <v>36</v>
      </c>
      <c r="T10" s="26" t="s">
        <v>37</v>
      </c>
      <c r="U10" s="30" t="s">
        <v>56</v>
      </c>
      <c r="V10" s="24" t="s">
        <v>38</v>
      </c>
      <c r="W10" s="24" t="s">
        <v>39</v>
      </c>
      <c r="X10" s="25" t="s">
        <v>40</v>
      </c>
      <c r="Y10" s="24" t="s">
        <v>41</v>
      </c>
      <c r="Z10" s="24" t="s">
        <v>42</v>
      </c>
      <c r="AA10" s="25" t="s">
        <v>43</v>
      </c>
      <c r="AB10" s="39" t="s">
        <v>13</v>
      </c>
    </row>
    <row r="11" spans="1:28" s="35" customFormat="1" x14ac:dyDescent="0.3">
      <c r="A11" s="17"/>
      <c r="B11" s="17"/>
      <c r="C11" s="17" t="s">
        <v>67</v>
      </c>
      <c r="D11" s="17" t="s">
        <v>68</v>
      </c>
      <c r="E11" s="17"/>
      <c r="F11" s="17" t="s">
        <v>69</v>
      </c>
      <c r="G11" s="42">
        <f>IF(H11="E","E",(IF(C11="","",_xlfn.RANK.EQ($H11,$H$11:$H$35)+COUNTIFS($H$11:$H$35,$H11,$J$11:$J$35,"&gt;"&amp;$J11))))</f>
        <v>2</v>
      </c>
      <c r="H11" s="52">
        <f>IF(Table7[[#This Row],[RIDER]]="","",IF((COUNTIF(J11, "E")), "E", (SUM(J11+I11))))</f>
        <v>55</v>
      </c>
      <c r="I11" s="52">
        <f>IF(Table7[[#This Row],[RIDER]]="","",SUM(X11,AA11))</f>
        <v>0</v>
      </c>
      <c r="J11" s="42">
        <f>IF(Table7[[#This Row],[RIDER]]="","",IF(COUNTIF(K11:T11, "E"), "E", (SUM(K11:T11)-U11)))</f>
        <v>55</v>
      </c>
      <c r="K11" s="17">
        <v>5</v>
      </c>
      <c r="L11" s="17">
        <v>0</v>
      </c>
      <c r="M11" s="17">
        <v>8</v>
      </c>
      <c r="N11" s="17">
        <v>2</v>
      </c>
      <c r="O11" s="17">
        <v>7</v>
      </c>
      <c r="P11" s="17">
        <v>9</v>
      </c>
      <c r="Q11" s="17">
        <v>10</v>
      </c>
      <c r="R11" s="17">
        <v>0</v>
      </c>
      <c r="S11" s="17">
        <v>9</v>
      </c>
      <c r="T11" s="17">
        <v>5</v>
      </c>
      <c r="U11" s="17">
        <v>0</v>
      </c>
      <c r="V11" s="17"/>
      <c r="W11" s="17"/>
      <c r="X11" s="18">
        <f>IF(C11="","",IF(OR(Table7[[#This Row],[Outside/Broke (O/B)]]="O",Table7[[#This Row],[Outside/Broke (O/B)]]="B"),0,VLOOKUP((V11/MAlength*150),CanterScore,2,TRUE)))</f>
        <v>0</v>
      </c>
      <c r="Y11" s="17"/>
      <c r="Z11" s="17"/>
      <c r="AA11" s="18">
        <f>IF(C11="","",IF(OR(Table7[[#This Row],[Outside/Broke (O/B)2]]="O",Table7[[#This Row],[Outside/Broke (O/B)2]]="B"),0,IF((Y11/MAlength*150)=0, 0,IF((Y11/MAlength*150)&lt;'MA calc'!$A$4, 15, VLOOKUP((Y11/MAlength*150),WalkScore,2,TRUE)))))</f>
        <v>0</v>
      </c>
      <c r="AB11" s="17"/>
    </row>
    <row r="12" spans="1:28" s="35" customFormat="1" x14ac:dyDescent="0.3">
      <c r="A12" s="17"/>
      <c r="B12" s="17"/>
      <c r="C12" s="17" t="s">
        <v>70</v>
      </c>
      <c r="D12" s="17" t="s">
        <v>71</v>
      </c>
      <c r="E12" s="17"/>
      <c r="F12" s="17" t="s">
        <v>72</v>
      </c>
      <c r="G12" s="42">
        <f t="shared" ref="G12:G35" si="0">IF(H12="E","E",(IF(C12="","",_xlfn.RANK.EQ($H12,$H$11:$H$35)+COUNTIFS($H$11:$H$35,$H12,$J$11:$J$35,"&gt;"&amp;$J12))))</f>
        <v>3</v>
      </c>
      <c r="H12" s="52">
        <f>IF(Table7[[#This Row],[RIDER]]="","",IF((COUNTIF(J12, "E")), "E", (SUM(J12+I12))))</f>
        <v>52</v>
      </c>
      <c r="I12" s="52">
        <f>IF(Table7[[#This Row],[RIDER]]="","",SUM(X12,AA12))</f>
        <v>0</v>
      </c>
      <c r="J12" s="42">
        <f>IF(Table7[[#This Row],[RIDER]]="","",IF(COUNTIF(K12:T12, "E"), "E", (SUM(K12:T12)-U12)))</f>
        <v>52</v>
      </c>
      <c r="K12" s="17">
        <v>7</v>
      </c>
      <c r="L12" s="17">
        <v>2</v>
      </c>
      <c r="M12" s="17">
        <v>0</v>
      </c>
      <c r="N12" s="17">
        <v>6</v>
      </c>
      <c r="O12" s="17">
        <v>7</v>
      </c>
      <c r="P12" s="17">
        <v>10</v>
      </c>
      <c r="Q12" s="17">
        <v>4</v>
      </c>
      <c r="R12" s="17">
        <v>0</v>
      </c>
      <c r="S12" s="17">
        <v>10</v>
      </c>
      <c r="T12" s="17">
        <v>6</v>
      </c>
      <c r="U12" s="17">
        <v>0</v>
      </c>
      <c r="V12" s="17"/>
      <c r="W12" s="17"/>
      <c r="X12" s="18">
        <f>IF(C12="","",IF(OR(Table7[[#This Row],[Outside/Broke (O/B)]]="O",Table7[[#This Row],[Outside/Broke (O/B)]]="B"),0,VLOOKUP((V12/MAlength*150),CanterScore,2,TRUE)))</f>
        <v>0</v>
      </c>
      <c r="Y12" s="17"/>
      <c r="Z12" s="17"/>
      <c r="AA12" s="18">
        <f>IF(C12="","",IF(OR(Table7[[#This Row],[Outside/Broke (O/B)2]]="O",Table7[[#This Row],[Outside/Broke (O/B)2]]="B"),0,IF((Y12/MAlength*150)=0, 0,IF((Y12/MAlength*150)&lt;'MA calc'!$A$4, 15, VLOOKUP((Y12/MAlength*150),WalkScore,2,TRUE)))))</f>
        <v>0</v>
      </c>
      <c r="AB12" s="17"/>
    </row>
    <row r="13" spans="1:28" s="35" customFormat="1" x14ac:dyDescent="0.3">
      <c r="A13" s="17"/>
      <c r="B13" s="17"/>
      <c r="C13" s="17" t="s">
        <v>76</v>
      </c>
      <c r="D13" s="17"/>
      <c r="E13" s="17"/>
      <c r="F13" s="17" t="s">
        <v>77</v>
      </c>
      <c r="G13" s="42">
        <f t="shared" si="0"/>
        <v>1</v>
      </c>
      <c r="H13" s="52">
        <f>IF(Table7[[#This Row],[RIDER]]="","",IF((COUNTIF(J13, "E")), "E", (SUM(J13+I13))))</f>
        <v>77</v>
      </c>
      <c r="I13" s="52">
        <f>IF(Table7[[#This Row],[RIDER]]="","",SUM(X13,AA13))</f>
        <v>0</v>
      </c>
      <c r="J13" s="42">
        <f>IF(Table7[[#This Row],[RIDER]]="","",IF(COUNTIF(K13:T13, "E"), "E", (SUM(K13:T13)-U13)))</f>
        <v>77</v>
      </c>
      <c r="K13" s="17">
        <v>5</v>
      </c>
      <c r="L13" s="17">
        <v>10</v>
      </c>
      <c r="M13" s="17">
        <v>9</v>
      </c>
      <c r="N13" s="17">
        <v>10</v>
      </c>
      <c r="O13" s="17">
        <v>7</v>
      </c>
      <c r="P13" s="17">
        <v>10</v>
      </c>
      <c r="Q13" s="17">
        <v>10</v>
      </c>
      <c r="R13" s="17">
        <v>0</v>
      </c>
      <c r="S13" s="17">
        <v>10</v>
      </c>
      <c r="T13" s="17">
        <v>6</v>
      </c>
      <c r="U13" s="17">
        <v>0</v>
      </c>
      <c r="V13" s="17"/>
      <c r="W13" s="17"/>
      <c r="X13" s="18">
        <f>IF(C13="","",IF(OR(Table7[[#This Row],[Outside/Broke (O/B)]]="O",Table7[[#This Row],[Outside/Broke (O/B)]]="B"),0,VLOOKUP((V13/MAlength*150),CanterScore,2,TRUE)))</f>
        <v>0</v>
      </c>
      <c r="Y13" s="17"/>
      <c r="Z13" s="17"/>
      <c r="AA13" s="18">
        <f>IF(C13="","",IF(OR(Table7[[#This Row],[Outside/Broke (O/B)2]]="O",Table7[[#This Row],[Outside/Broke (O/B)2]]="B"),0,IF((Y13/MAlength*150)=0, 0,IF((Y13/MAlength*150)&lt;'MA calc'!$A$4, 15, VLOOKUP((Y13/MAlength*150),WalkScore,2,TRUE)))))</f>
        <v>0</v>
      </c>
      <c r="AB13" s="17"/>
    </row>
    <row r="14" spans="1:28" s="35" customFormat="1" x14ac:dyDescent="0.3">
      <c r="A14" s="17"/>
      <c r="B14" s="17"/>
      <c r="C14" s="17"/>
      <c r="D14" s="17"/>
      <c r="E14" s="17"/>
      <c r="F14" s="17"/>
      <c r="G14" s="42" t="str">
        <f t="shared" si="0"/>
        <v/>
      </c>
      <c r="H14" s="52" t="str">
        <f>IF(Table7[[#This Row],[RIDER]]="","",IF((COUNTIF(J14, "E")), "E", (SUM(J14+I14))))</f>
        <v/>
      </c>
      <c r="I14" s="52" t="str">
        <f>IF(Table7[[#This Row],[RIDER]]="","",SUM(X14,AA14))</f>
        <v/>
      </c>
      <c r="J14" s="42" t="str">
        <f>IF(Table7[[#This Row],[RIDER]]="","",IF(COUNTIF(K14:T14, "E"), "E", (SUM(K14:T14)-U14)))</f>
        <v/>
      </c>
      <c r="K14" s="17">
        <v>0</v>
      </c>
      <c r="L14" s="17">
        <v>0</v>
      </c>
      <c r="M14" s="17">
        <v>0</v>
      </c>
      <c r="N14" s="17">
        <v>0</v>
      </c>
      <c r="O14" s="17">
        <v>0</v>
      </c>
      <c r="P14" s="17">
        <v>0</v>
      </c>
      <c r="Q14" s="17">
        <v>0</v>
      </c>
      <c r="R14" s="17">
        <v>0</v>
      </c>
      <c r="S14" s="17">
        <v>0</v>
      </c>
      <c r="T14" s="17">
        <v>0</v>
      </c>
      <c r="U14" s="17">
        <v>0</v>
      </c>
      <c r="V14" s="17"/>
      <c r="W14" s="17"/>
      <c r="X14" s="18" t="str">
        <f>IF(C14="","",IF(OR(Table7[[#This Row],[Outside/Broke (O/B)]]="O",Table7[[#This Row],[Outside/Broke (O/B)]]="B"),0,VLOOKUP((V14/MAlength*150),CanterScore,2,TRUE)))</f>
        <v/>
      </c>
      <c r="Y14" s="17"/>
      <c r="Z14" s="17"/>
      <c r="AA14" s="18" t="str">
        <f>IF(C14="","",IF(OR(Table7[[#This Row],[Outside/Broke (O/B)2]]="O",Table7[[#This Row],[Outside/Broke (O/B)2]]="B"),0,IF((Y14/MAlength*150)=0, 0,IF((Y14/MAlength*150)&lt;'MA calc'!$A$4, 15, VLOOKUP((Y14/MAlength*150),WalkScore,2,TRUE)))))</f>
        <v/>
      </c>
      <c r="AB14" s="17"/>
    </row>
    <row r="15" spans="1:28" s="35" customFormat="1" x14ac:dyDescent="0.3">
      <c r="A15" s="17"/>
      <c r="B15" s="17"/>
      <c r="C15" s="17"/>
      <c r="D15" s="17"/>
      <c r="E15" s="17"/>
      <c r="F15" s="17"/>
      <c r="G15" s="42" t="str">
        <f t="shared" si="0"/>
        <v/>
      </c>
      <c r="H15" s="52" t="str">
        <f>IF(Table7[[#This Row],[RIDER]]="","",IF((COUNTIF(J15, "E")), "E", (SUM(J15+I15))))</f>
        <v/>
      </c>
      <c r="I15" s="52" t="str">
        <f>IF(Table7[[#This Row],[RIDER]]="","",SUM(X15,AA15))</f>
        <v/>
      </c>
      <c r="J15" s="42" t="str">
        <f>IF(Table7[[#This Row],[RIDER]]="","",IF(COUNTIF(K15:T15, "E"), "E", (SUM(K15:T15)-U15)))</f>
        <v/>
      </c>
      <c r="K15" s="17">
        <v>0</v>
      </c>
      <c r="L15" s="17">
        <v>0</v>
      </c>
      <c r="M15" s="17">
        <v>0</v>
      </c>
      <c r="N15" s="17">
        <v>0</v>
      </c>
      <c r="O15" s="17">
        <v>0</v>
      </c>
      <c r="P15" s="17">
        <v>0</v>
      </c>
      <c r="Q15" s="17">
        <v>0</v>
      </c>
      <c r="R15" s="17">
        <v>0</v>
      </c>
      <c r="S15" s="17">
        <v>0</v>
      </c>
      <c r="T15" s="17">
        <v>0</v>
      </c>
      <c r="U15" s="17">
        <v>0</v>
      </c>
      <c r="V15" s="17"/>
      <c r="W15" s="17"/>
      <c r="X15" s="18" t="str">
        <f>IF(C15="","",IF(OR(Table7[[#This Row],[Outside/Broke (O/B)]]="O",Table7[[#This Row],[Outside/Broke (O/B)]]="B"),0,VLOOKUP((V15/MAlength*150),CanterScore,2,TRUE)))</f>
        <v/>
      </c>
      <c r="Y15" s="17"/>
      <c r="Z15" s="17"/>
      <c r="AA15" s="18" t="str">
        <f>IF(C15="","",IF(OR(Table7[[#This Row],[Outside/Broke (O/B)2]]="O",Table7[[#This Row],[Outside/Broke (O/B)2]]="B"),0,IF((Y15/MAlength*150)=0, 0,IF((Y15/MAlength*150)&lt;'MA calc'!$A$4, 15, VLOOKUP((Y15/MAlength*150),WalkScore,2,TRUE)))))</f>
        <v/>
      </c>
      <c r="AB15" s="17"/>
    </row>
    <row r="16" spans="1:28" s="35" customFormat="1" x14ac:dyDescent="0.3">
      <c r="A16" s="17"/>
      <c r="B16" s="17"/>
      <c r="C16" s="17"/>
      <c r="D16" s="17"/>
      <c r="E16" s="17"/>
      <c r="F16" s="17"/>
      <c r="G16" s="42" t="str">
        <f t="shared" si="0"/>
        <v/>
      </c>
      <c r="H16" s="52" t="str">
        <f>IF(Table7[[#This Row],[RIDER]]="","",IF((COUNTIF(J16, "E")), "E", (SUM(J16+I16))))</f>
        <v/>
      </c>
      <c r="I16" s="52" t="str">
        <f>IF(Table7[[#This Row],[RIDER]]="","",SUM(X16,AA16))</f>
        <v/>
      </c>
      <c r="J16" s="42" t="str">
        <f>IF(Table7[[#This Row],[RIDER]]="","",IF(COUNTIF(K16:T16, "E"), "E", (SUM(K16:T16)-U16)))</f>
        <v/>
      </c>
      <c r="K16" s="17">
        <v>0</v>
      </c>
      <c r="L16" s="17">
        <v>0</v>
      </c>
      <c r="M16" s="17">
        <v>0</v>
      </c>
      <c r="N16" s="17">
        <v>0</v>
      </c>
      <c r="O16" s="17">
        <v>0</v>
      </c>
      <c r="P16" s="17">
        <v>0</v>
      </c>
      <c r="Q16" s="17">
        <v>0</v>
      </c>
      <c r="R16" s="17">
        <v>0</v>
      </c>
      <c r="S16" s="17">
        <v>0</v>
      </c>
      <c r="T16" s="17">
        <v>0</v>
      </c>
      <c r="U16" s="17">
        <v>0</v>
      </c>
      <c r="V16" s="17"/>
      <c r="W16" s="17"/>
      <c r="X16" s="18" t="str">
        <f>IF(C16="","",IF(OR(Table7[[#This Row],[Outside/Broke (O/B)]]="O",Table7[[#This Row],[Outside/Broke (O/B)]]="B"),0,VLOOKUP((V16/MAlength*150),CanterScore,2,TRUE)))</f>
        <v/>
      </c>
      <c r="Y16" s="17"/>
      <c r="Z16" s="17"/>
      <c r="AA16" s="18" t="str">
        <f>IF(C16="","",IF(OR(Table7[[#This Row],[Outside/Broke (O/B)2]]="O",Table7[[#This Row],[Outside/Broke (O/B)2]]="B"),0,IF((Y16/MAlength*150)=0, 0,IF((Y16/MAlength*150)&lt;'MA calc'!$A$4, 15, VLOOKUP((Y16/MAlength*150),WalkScore,2,TRUE)))))</f>
        <v/>
      </c>
      <c r="AB16" s="17"/>
    </row>
    <row r="17" spans="1:28" s="35" customFormat="1" x14ac:dyDescent="0.3">
      <c r="A17" s="17"/>
      <c r="B17" s="17"/>
      <c r="C17" s="17"/>
      <c r="D17" s="17"/>
      <c r="E17" s="17"/>
      <c r="F17" s="17"/>
      <c r="G17" s="42" t="str">
        <f t="shared" si="0"/>
        <v/>
      </c>
      <c r="H17" s="52" t="str">
        <f>IF(Table7[[#This Row],[RIDER]]="","",IF((COUNTIF(J17, "E")), "E", (SUM(J17+I17))))</f>
        <v/>
      </c>
      <c r="I17" s="52" t="str">
        <f>IF(Table7[[#This Row],[RIDER]]="","",SUM(X17,AA17))</f>
        <v/>
      </c>
      <c r="J17" s="42" t="str">
        <f>IF(Table7[[#This Row],[RIDER]]="","",IF(COUNTIF(K17:T17, "E"), "E", (SUM(K17:T17)-U17)))</f>
        <v/>
      </c>
      <c r="K17" s="17">
        <v>0</v>
      </c>
      <c r="L17" s="17">
        <v>0</v>
      </c>
      <c r="M17" s="17">
        <v>0</v>
      </c>
      <c r="N17" s="17">
        <v>0</v>
      </c>
      <c r="O17" s="17">
        <v>0</v>
      </c>
      <c r="P17" s="17">
        <v>0</v>
      </c>
      <c r="Q17" s="17">
        <v>0</v>
      </c>
      <c r="R17" s="17">
        <v>0</v>
      </c>
      <c r="S17" s="17">
        <v>0</v>
      </c>
      <c r="T17" s="17">
        <v>0</v>
      </c>
      <c r="U17" s="17">
        <v>0</v>
      </c>
      <c r="V17" s="17"/>
      <c r="W17" s="17"/>
      <c r="X17" s="18" t="str">
        <f>IF(C17="","",IF(OR(Table7[[#This Row],[Outside/Broke (O/B)]]="O",Table7[[#This Row],[Outside/Broke (O/B)]]="B"),0,VLOOKUP((V17/MAlength*150),CanterScore,2,TRUE)))</f>
        <v/>
      </c>
      <c r="Y17" s="17"/>
      <c r="Z17" s="17"/>
      <c r="AA17" s="18" t="str">
        <f>IF(C17="","",IF(OR(Table7[[#This Row],[Outside/Broke (O/B)2]]="O",Table7[[#This Row],[Outside/Broke (O/B)2]]="B"),0,IF((Y17/MAlength*150)=0, 0,IF((Y17/MAlength*150)&lt;'MA calc'!$A$4, 15, VLOOKUP((Y17/MAlength*150),WalkScore,2,TRUE)))))</f>
        <v/>
      </c>
      <c r="AB17" s="17"/>
    </row>
    <row r="18" spans="1:28" s="35" customFormat="1" x14ac:dyDescent="0.3">
      <c r="A18" s="17"/>
      <c r="B18" s="17"/>
      <c r="C18" s="17"/>
      <c r="D18" s="17"/>
      <c r="E18" s="17"/>
      <c r="F18" s="17"/>
      <c r="G18" s="42" t="str">
        <f t="shared" si="0"/>
        <v/>
      </c>
      <c r="H18" s="52" t="str">
        <f>IF(Table7[[#This Row],[RIDER]]="","",IF((COUNTIF(J18, "E")), "E", (SUM(J18+I18))))</f>
        <v/>
      </c>
      <c r="I18" s="52" t="str">
        <f>IF(Table7[[#This Row],[RIDER]]="","",SUM(X18,AA18))</f>
        <v/>
      </c>
      <c r="J18" s="42" t="str">
        <f>IF(Table7[[#This Row],[RIDER]]="","",IF(COUNTIF(K18:T18, "E"), "E", (SUM(K18:T18)-U18)))</f>
        <v/>
      </c>
      <c r="K18" s="17">
        <v>0</v>
      </c>
      <c r="L18" s="17">
        <v>0</v>
      </c>
      <c r="M18" s="17">
        <v>0</v>
      </c>
      <c r="N18" s="17">
        <v>0</v>
      </c>
      <c r="O18" s="17">
        <v>0</v>
      </c>
      <c r="P18" s="17">
        <v>0</v>
      </c>
      <c r="Q18" s="17">
        <v>0</v>
      </c>
      <c r="R18" s="17">
        <v>0</v>
      </c>
      <c r="S18" s="17">
        <v>0</v>
      </c>
      <c r="T18" s="17">
        <v>0</v>
      </c>
      <c r="U18" s="17">
        <v>0</v>
      </c>
      <c r="V18" s="17"/>
      <c r="W18" s="17"/>
      <c r="X18" s="18" t="str">
        <f>IF(C18="","",IF(OR(Table7[[#This Row],[Outside/Broke (O/B)]]="O",Table7[[#This Row],[Outside/Broke (O/B)]]="B"),0,VLOOKUP((V18/MAlength*150),CanterScore,2,TRUE)))</f>
        <v/>
      </c>
      <c r="Y18" s="17"/>
      <c r="Z18" s="17"/>
      <c r="AA18" s="18" t="str">
        <f>IF(C18="","",IF(OR(Table7[[#This Row],[Outside/Broke (O/B)2]]="O",Table7[[#This Row],[Outside/Broke (O/B)2]]="B"),0,IF((Y18/MAlength*150)=0, 0,IF((Y18/MAlength*150)&lt;'MA calc'!$A$4, 15, VLOOKUP((Y18/MAlength*150),WalkScore,2,TRUE)))))</f>
        <v/>
      </c>
      <c r="AB18" s="17"/>
    </row>
    <row r="19" spans="1:28" s="35" customFormat="1" x14ac:dyDescent="0.3">
      <c r="A19" s="17"/>
      <c r="B19" s="17"/>
      <c r="C19" s="17"/>
      <c r="D19" s="17"/>
      <c r="E19" s="17"/>
      <c r="F19" s="17"/>
      <c r="G19" s="42" t="str">
        <f t="shared" si="0"/>
        <v/>
      </c>
      <c r="H19" s="52" t="str">
        <f>IF(Table7[[#This Row],[RIDER]]="","",IF((COUNTIF(J19, "E")), "E", (SUM(J19+I19))))</f>
        <v/>
      </c>
      <c r="I19" s="52" t="str">
        <f>IF(Table7[[#This Row],[RIDER]]="","",SUM(X19,AA19))</f>
        <v/>
      </c>
      <c r="J19" s="42" t="str">
        <f>IF(Table7[[#This Row],[RIDER]]="","",IF(COUNTIF(K19:T19, "E"), "E", (SUM(K19:T19)-U19)))</f>
        <v/>
      </c>
      <c r="K19" s="17">
        <v>0</v>
      </c>
      <c r="L19" s="17">
        <v>0</v>
      </c>
      <c r="M19" s="17">
        <v>0</v>
      </c>
      <c r="N19" s="17">
        <v>0</v>
      </c>
      <c r="O19" s="17">
        <v>0</v>
      </c>
      <c r="P19" s="17">
        <v>0</v>
      </c>
      <c r="Q19" s="17">
        <v>0</v>
      </c>
      <c r="R19" s="17">
        <v>0</v>
      </c>
      <c r="S19" s="17">
        <v>0</v>
      </c>
      <c r="T19" s="17">
        <v>0</v>
      </c>
      <c r="U19" s="17">
        <v>0</v>
      </c>
      <c r="V19" s="17"/>
      <c r="W19" s="17"/>
      <c r="X19" s="18" t="str">
        <f>IF(C19="","",IF(OR(Table7[[#This Row],[Outside/Broke (O/B)]]="O",Table7[[#This Row],[Outside/Broke (O/B)]]="B"),0,VLOOKUP((V19/MAlength*150),CanterScore,2,TRUE)))</f>
        <v/>
      </c>
      <c r="Y19" s="17"/>
      <c r="Z19" s="17"/>
      <c r="AA19" s="18" t="str">
        <f>IF(C19="","",IF(OR(Table7[[#This Row],[Outside/Broke (O/B)2]]="O",Table7[[#This Row],[Outside/Broke (O/B)2]]="B"),0,IF((Y19/MAlength*150)=0, 0,IF((Y19/MAlength*150)&lt;'MA calc'!$A$4, 15, VLOOKUP((Y19/MAlength*150),WalkScore,2,TRUE)))))</f>
        <v/>
      </c>
      <c r="AB19" s="17"/>
    </row>
    <row r="20" spans="1:28" s="35" customFormat="1" x14ac:dyDescent="0.3">
      <c r="A20" s="17"/>
      <c r="B20" s="17"/>
      <c r="C20" s="17"/>
      <c r="D20" s="17"/>
      <c r="E20" s="17"/>
      <c r="F20" s="17"/>
      <c r="G20" s="42" t="str">
        <f t="shared" si="0"/>
        <v/>
      </c>
      <c r="H20" s="52" t="str">
        <f>IF(Table7[[#This Row],[RIDER]]="","",IF((COUNTIF(J20, "E")), "E", (SUM(J20+I20))))</f>
        <v/>
      </c>
      <c r="I20" s="52" t="str">
        <f>IF(Table7[[#This Row],[RIDER]]="","",SUM(X20,AA20))</f>
        <v/>
      </c>
      <c r="J20" s="42" t="str">
        <f>IF(Table7[[#This Row],[RIDER]]="","",IF(COUNTIF(K20:T20, "E"), "E", (SUM(K20:T20)-U20)))</f>
        <v/>
      </c>
      <c r="K20" s="17">
        <v>0</v>
      </c>
      <c r="L20" s="17">
        <v>0</v>
      </c>
      <c r="M20" s="17">
        <v>0</v>
      </c>
      <c r="N20" s="17">
        <v>0</v>
      </c>
      <c r="O20" s="17">
        <v>0</v>
      </c>
      <c r="P20" s="17">
        <v>0</v>
      </c>
      <c r="Q20" s="17">
        <v>0</v>
      </c>
      <c r="R20" s="17">
        <v>0</v>
      </c>
      <c r="S20" s="17">
        <v>0</v>
      </c>
      <c r="T20" s="17">
        <v>0</v>
      </c>
      <c r="U20" s="17">
        <v>0</v>
      </c>
      <c r="V20" s="17"/>
      <c r="W20" s="17"/>
      <c r="X20" s="18" t="str">
        <f>IF(C20="","",IF(OR(Table7[[#This Row],[Outside/Broke (O/B)]]="O",Table7[[#This Row],[Outside/Broke (O/B)]]="B"),0,VLOOKUP((V20/MAlength*150),CanterScore,2,TRUE)))</f>
        <v/>
      </c>
      <c r="Y20" s="17"/>
      <c r="Z20" s="17"/>
      <c r="AA20" s="18" t="str">
        <f>IF(C20="","",IF(OR(Table7[[#This Row],[Outside/Broke (O/B)2]]="O",Table7[[#This Row],[Outside/Broke (O/B)2]]="B"),0,IF((Y20/MAlength*150)=0, 0,IF((Y20/MAlength*150)&lt;'MA calc'!$A$4, 15, VLOOKUP((Y20/MAlength*150),WalkScore,2,TRUE)))))</f>
        <v/>
      </c>
      <c r="AB20" s="17"/>
    </row>
    <row r="21" spans="1:28" s="35" customFormat="1" x14ac:dyDescent="0.3">
      <c r="A21" s="17"/>
      <c r="B21" s="17"/>
      <c r="C21" s="17"/>
      <c r="D21" s="17"/>
      <c r="E21" s="17"/>
      <c r="F21" s="17"/>
      <c r="G21" s="42" t="str">
        <f t="shared" si="0"/>
        <v/>
      </c>
      <c r="H21" s="52" t="str">
        <f>IF(Table7[[#This Row],[RIDER]]="","",IF((COUNTIF(J21, "E")), "E", (SUM(J21+I21))))</f>
        <v/>
      </c>
      <c r="I21" s="52" t="str">
        <f>IF(Table7[[#This Row],[RIDER]]="","",SUM(X21,AA21))</f>
        <v/>
      </c>
      <c r="J21" s="42" t="str">
        <f>IF(Table7[[#This Row],[RIDER]]="","",IF(COUNTIF(K21:T21, "E"), "E", (SUM(K21:T21)-U21)))</f>
        <v/>
      </c>
      <c r="K21" s="17">
        <v>0</v>
      </c>
      <c r="L21" s="17">
        <v>0</v>
      </c>
      <c r="M21" s="17">
        <v>0</v>
      </c>
      <c r="N21" s="17">
        <v>0</v>
      </c>
      <c r="O21" s="17">
        <v>0</v>
      </c>
      <c r="P21" s="17">
        <v>0</v>
      </c>
      <c r="Q21" s="17">
        <v>0</v>
      </c>
      <c r="R21" s="17">
        <v>0</v>
      </c>
      <c r="S21" s="17">
        <v>0</v>
      </c>
      <c r="T21" s="17">
        <v>0</v>
      </c>
      <c r="U21" s="17">
        <v>0</v>
      </c>
      <c r="V21" s="17"/>
      <c r="W21" s="17"/>
      <c r="X21" s="18" t="str">
        <f>IF(C21="","",IF(OR(Table7[[#This Row],[Outside/Broke (O/B)]]="O",Table7[[#This Row],[Outside/Broke (O/B)]]="B"),0,VLOOKUP((V21/MAlength*150),CanterScore,2,TRUE)))</f>
        <v/>
      </c>
      <c r="Y21" s="17"/>
      <c r="Z21" s="17"/>
      <c r="AA21" s="18" t="str">
        <f>IF(C21="","",IF(OR(Table7[[#This Row],[Outside/Broke (O/B)2]]="O",Table7[[#This Row],[Outside/Broke (O/B)2]]="B"),0,IF((Y21/MAlength*150)=0, 0,IF((Y21/MAlength*150)&lt;'MA calc'!$A$4, 15, VLOOKUP((Y21/MAlength*150),WalkScore,2,TRUE)))))</f>
        <v/>
      </c>
      <c r="AB21" s="17"/>
    </row>
    <row r="22" spans="1:28" s="35" customFormat="1" x14ac:dyDescent="0.3">
      <c r="A22" s="17"/>
      <c r="B22" s="17"/>
      <c r="C22" s="17"/>
      <c r="D22" s="17"/>
      <c r="E22" s="17"/>
      <c r="F22" s="17"/>
      <c r="G22" s="42" t="str">
        <f t="shared" si="0"/>
        <v/>
      </c>
      <c r="H22" s="52" t="str">
        <f>IF(Table7[[#This Row],[RIDER]]="","",IF((COUNTIF(J22, "E")), "E", (SUM(J22+I22))))</f>
        <v/>
      </c>
      <c r="I22" s="52" t="str">
        <f>IF(Table7[[#This Row],[RIDER]]="","",SUM(X22,AA22))</f>
        <v/>
      </c>
      <c r="J22" s="42" t="str">
        <f>IF(Table7[[#This Row],[RIDER]]="","",IF(COUNTIF(K22:T22, "E"), "E", (SUM(K22:T22)-U22)))</f>
        <v/>
      </c>
      <c r="K22" s="17">
        <v>0</v>
      </c>
      <c r="L22" s="17">
        <v>0</v>
      </c>
      <c r="M22" s="17">
        <v>0</v>
      </c>
      <c r="N22" s="17">
        <v>0</v>
      </c>
      <c r="O22" s="17">
        <v>0</v>
      </c>
      <c r="P22" s="17">
        <v>0</v>
      </c>
      <c r="Q22" s="17">
        <v>0</v>
      </c>
      <c r="R22" s="17">
        <v>0</v>
      </c>
      <c r="S22" s="17">
        <v>0</v>
      </c>
      <c r="T22" s="17">
        <v>0</v>
      </c>
      <c r="U22" s="17">
        <v>0</v>
      </c>
      <c r="V22" s="17"/>
      <c r="W22" s="17"/>
      <c r="X22" s="18" t="str">
        <f>IF(C22="","",IF(OR(Table7[[#This Row],[Outside/Broke (O/B)]]="O",Table7[[#This Row],[Outside/Broke (O/B)]]="B"),0,VLOOKUP((V22/MAlength*150),CanterScore,2,TRUE)))</f>
        <v/>
      </c>
      <c r="Y22" s="17"/>
      <c r="Z22" s="17"/>
      <c r="AA22" s="18" t="str">
        <f>IF(C22="","",IF(OR(Table7[[#This Row],[Outside/Broke (O/B)2]]="O",Table7[[#This Row],[Outside/Broke (O/B)2]]="B"),0,IF((Y22/MAlength*150)=0, 0,IF((Y22/MAlength*150)&lt;'MA calc'!$A$4, 15, VLOOKUP((Y22/MAlength*150),WalkScore,2,TRUE)))))</f>
        <v/>
      </c>
      <c r="AB22" s="17"/>
    </row>
    <row r="23" spans="1:28" s="35" customFormat="1" x14ac:dyDescent="0.3">
      <c r="A23" s="17"/>
      <c r="B23" s="17"/>
      <c r="C23" s="17"/>
      <c r="D23" s="17"/>
      <c r="E23" s="17"/>
      <c r="F23" s="17"/>
      <c r="G23" s="42" t="str">
        <f t="shared" si="0"/>
        <v/>
      </c>
      <c r="H23" s="52" t="str">
        <f>IF(Table7[[#This Row],[RIDER]]="","",IF((COUNTIF(J23, "E")), "E", (SUM(J23+I23))))</f>
        <v/>
      </c>
      <c r="I23" s="52" t="str">
        <f>IF(Table7[[#This Row],[RIDER]]="","",SUM(X23,AA23))</f>
        <v/>
      </c>
      <c r="J23" s="42" t="str">
        <f>IF(Table7[[#This Row],[RIDER]]="","",IF(COUNTIF(K23:T23, "E"), "E", (SUM(K23:T23)-U23)))</f>
        <v/>
      </c>
      <c r="K23" s="17">
        <v>0</v>
      </c>
      <c r="L23" s="17">
        <v>0</v>
      </c>
      <c r="M23" s="17">
        <v>0</v>
      </c>
      <c r="N23" s="17">
        <v>0</v>
      </c>
      <c r="O23" s="17">
        <v>0</v>
      </c>
      <c r="P23" s="17">
        <v>0</v>
      </c>
      <c r="Q23" s="17">
        <v>0</v>
      </c>
      <c r="R23" s="17">
        <v>0</v>
      </c>
      <c r="S23" s="17">
        <v>0</v>
      </c>
      <c r="T23" s="17">
        <v>0</v>
      </c>
      <c r="U23" s="17">
        <v>0</v>
      </c>
      <c r="V23" s="17"/>
      <c r="W23" s="17"/>
      <c r="X23" s="18" t="str">
        <f>IF(C23="","",IF(OR(Table7[[#This Row],[Outside/Broke (O/B)]]="O",Table7[[#This Row],[Outside/Broke (O/B)]]="B"),0,VLOOKUP((V23/MAlength*150),CanterScore,2,TRUE)))</f>
        <v/>
      </c>
      <c r="Y23" s="17"/>
      <c r="Z23" s="17"/>
      <c r="AA23" s="18" t="str">
        <f>IF(C23="","",IF(OR(Table7[[#This Row],[Outside/Broke (O/B)2]]="O",Table7[[#This Row],[Outside/Broke (O/B)2]]="B"),0,IF((Y23/MAlength*150)=0, 0,IF((Y23/MAlength*150)&lt;'MA calc'!$A$4, 15, VLOOKUP((Y23/MAlength*150),WalkScore,2,TRUE)))))</f>
        <v/>
      </c>
      <c r="AB23" s="17"/>
    </row>
    <row r="24" spans="1:28" s="35" customFormat="1" x14ac:dyDescent="0.3">
      <c r="A24" s="17"/>
      <c r="B24" s="17"/>
      <c r="C24" s="17"/>
      <c r="D24" s="17"/>
      <c r="E24" s="17"/>
      <c r="F24" s="17"/>
      <c r="G24" s="42" t="str">
        <f t="shared" si="0"/>
        <v/>
      </c>
      <c r="H24" s="52" t="str">
        <f>IF(Table7[[#This Row],[RIDER]]="","",IF((COUNTIF(J24, "E")), "E", (SUM(J24+I24))))</f>
        <v/>
      </c>
      <c r="I24" s="52" t="str">
        <f>IF(Table7[[#This Row],[RIDER]]="","",SUM(X24,AA24))</f>
        <v/>
      </c>
      <c r="J24" s="42" t="str">
        <f>IF(Table7[[#This Row],[RIDER]]="","",IF(COUNTIF(K24:T24, "E"), "E", (SUM(K24:T24)-U24)))</f>
        <v/>
      </c>
      <c r="K24" s="17">
        <v>0</v>
      </c>
      <c r="L24" s="17">
        <v>0</v>
      </c>
      <c r="M24" s="17">
        <v>0</v>
      </c>
      <c r="N24" s="17">
        <v>0</v>
      </c>
      <c r="O24" s="17">
        <v>0</v>
      </c>
      <c r="P24" s="17">
        <v>0</v>
      </c>
      <c r="Q24" s="17">
        <v>0</v>
      </c>
      <c r="R24" s="17">
        <v>0</v>
      </c>
      <c r="S24" s="17">
        <v>0</v>
      </c>
      <c r="T24" s="17">
        <v>0</v>
      </c>
      <c r="U24" s="17">
        <v>0</v>
      </c>
      <c r="V24" s="17"/>
      <c r="W24" s="17"/>
      <c r="X24" s="18" t="str">
        <f>IF(C24="","",IF(OR(Table7[[#This Row],[Outside/Broke (O/B)]]="O",Table7[[#This Row],[Outside/Broke (O/B)]]="B"),0,VLOOKUP((V24/MAlength*150),CanterScore,2,TRUE)))</f>
        <v/>
      </c>
      <c r="Y24" s="17"/>
      <c r="Z24" s="17"/>
      <c r="AA24" s="18" t="str">
        <f>IF(C24="","",IF(OR(Table7[[#This Row],[Outside/Broke (O/B)2]]="O",Table7[[#This Row],[Outside/Broke (O/B)2]]="B"),0,IF((Y24/MAlength*150)=0, 0,IF((Y24/MAlength*150)&lt;'MA calc'!$A$4, 15, VLOOKUP((Y24/MAlength*150),WalkScore,2,TRUE)))))</f>
        <v/>
      </c>
      <c r="AB24" s="17"/>
    </row>
    <row r="25" spans="1:28" s="35" customFormat="1" x14ac:dyDescent="0.3">
      <c r="A25" s="17"/>
      <c r="B25" s="17"/>
      <c r="C25" s="17"/>
      <c r="D25" s="17"/>
      <c r="E25" s="17"/>
      <c r="F25" s="17"/>
      <c r="G25" s="42" t="str">
        <f t="shared" si="0"/>
        <v/>
      </c>
      <c r="H25" s="52" t="str">
        <f>IF(Table7[[#This Row],[RIDER]]="","",IF((COUNTIF(J25, "E")), "E", (SUM(J25+I25))))</f>
        <v/>
      </c>
      <c r="I25" s="52" t="str">
        <f>IF(Table7[[#This Row],[RIDER]]="","",SUM(X25,AA25))</f>
        <v/>
      </c>
      <c r="J25" s="42" t="str">
        <f>IF(Table7[[#This Row],[RIDER]]="","",IF(COUNTIF(K25:T25, "E"), "E", (SUM(K25:T25)-U25)))</f>
        <v/>
      </c>
      <c r="K25" s="17">
        <v>0</v>
      </c>
      <c r="L25" s="17">
        <v>0</v>
      </c>
      <c r="M25" s="17">
        <v>0</v>
      </c>
      <c r="N25" s="17">
        <v>0</v>
      </c>
      <c r="O25" s="17">
        <v>0</v>
      </c>
      <c r="P25" s="17">
        <v>0</v>
      </c>
      <c r="Q25" s="17">
        <v>0</v>
      </c>
      <c r="R25" s="17">
        <v>0</v>
      </c>
      <c r="S25" s="17">
        <v>0</v>
      </c>
      <c r="T25" s="17">
        <v>0</v>
      </c>
      <c r="U25" s="17">
        <v>0</v>
      </c>
      <c r="V25" s="17"/>
      <c r="W25" s="17"/>
      <c r="X25" s="18" t="str">
        <f>IF(C25="","",IF(OR(Table7[[#This Row],[Outside/Broke (O/B)]]="O",Table7[[#This Row],[Outside/Broke (O/B)]]="B"),0,VLOOKUP((V25/MAlength*150),CanterScore,2,TRUE)))</f>
        <v/>
      </c>
      <c r="Y25" s="17"/>
      <c r="Z25" s="17"/>
      <c r="AA25" s="18" t="str">
        <f>IF(C25="","",IF(OR(Table7[[#This Row],[Outside/Broke (O/B)2]]="O",Table7[[#This Row],[Outside/Broke (O/B)2]]="B"),0,IF((Y25/MAlength*150)=0, 0,IF((Y25/MAlength*150)&lt;'MA calc'!$A$4, 15, VLOOKUP((Y25/MAlength*150),WalkScore,2,TRUE)))))</f>
        <v/>
      </c>
      <c r="AB25" s="17"/>
    </row>
    <row r="26" spans="1:28" s="35" customFormat="1" x14ac:dyDescent="0.3">
      <c r="A26" s="17"/>
      <c r="B26" s="17"/>
      <c r="C26" s="17"/>
      <c r="D26" s="17"/>
      <c r="E26" s="17"/>
      <c r="F26" s="17"/>
      <c r="G26" s="42" t="str">
        <f t="shared" si="0"/>
        <v/>
      </c>
      <c r="H26" s="52" t="str">
        <f>IF(Table7[[#This Row],[RIDER]]="","",IF((COUNTIF(J26, "E")), "E", (SUM(J26+I26))))</f>
        <v/>
      </c>
      <c r="I26" s="52" t="str">
        <f>IF(Table7[[#This Row],[RIDER]]="","",SUM(X26,AA26))</f>
        <v/>
      </c>
      <c r="J26" s="42" t="str">
        <f>IF(Table7[[#This Row],[RIDER]]="","",IF(COUNTIF(K26:T26, "E"), "E", (SUM(K26:T26)-U26)))</f>
        <v/>
      </c>
      <c r="K26" s="17">
        <v>0</v>
      </c>
      <c r="L26" s="17">
        <v>0</v>
      </c>
      <c r="M26" s="17">
        <v>0</v>
      </c>
      <c r="N26" s="17">
        <v>0</v>
      </c>
      <c r="O26" s="17">
        <v>0</v>
      </c>
      <c r="P26" s="17">
        <v>0</v>
      </c>
      <c r="Q26" s="17">
        <v>0</v>
      </c>
      <c r="R26" s="17">
        <v>0</v>
      </c>
      <c r="S26" s="17">
        <v>0</v>
      </c>
      <c r="T26" s="17">
        <v>0</v>
      </c>
      <c r="U26" s="17">
        <v>0</v>
      </c>
      <c r="V26" s="17"/>
      <c r="W26" s="17"/>
      <c r="X26" s="18" t="str">
        <f>IF(C26="","",IF(OR(Table7[[#This Row],[Outside/Broke (O/B)]]="O",Table7[[#This Row],[Outside/Broke (O/B)]]="B"),0,VLOOKUP((V26/MAlength*150),CanterScore,2,TRUE)))</f>
        <v/>
      </c>
      <c r="Y26" s="17"/>
      <c r="Z26" s="17"/>
      <c r="AA26" s="18" t="str">
        <f>IF(C26="","",IF(OR(Table7[[#This Row],[Outside/Broke (O/B)2]]="O",Table7[[#This Row],[Outside/Broke (O/B)2]]="B"),0,IF((Y26/MAlength*150)=0, 0,IF((Y26/MAlength*150)&lt;'MA calc'!$A$4, 15, VLOOKUP((Y26/MAlength*150),WalkScore,2,TRUE)))))</f>
        <v/>
      </c>
      <c r="AB26" s="17"/>
    </row>
    <row r="27" spans="1:28" s="35" customFormat="1" x14ac:dyDescent="0.3">
      <c r="A27" s="17"/>
      <c r="B27" s="17"/>
      <c r="C27" s="17"/>
      <c r="D27" s="17"/>
      <c r="E27" s="17"/>
      <c r="F27" s="17"/>
      <c r="G27" s="42" t="str">
        <f t="shared" si="0"/>
        <v/>
      </c>
      <c r="H27" s="52" t="str">
        <f>IF(Table7[[#This Row],[RIDER]]="","",IF((COUNTIF(J27, "E")), "E", (SUM(J27+I27))))</f>
        <v/>
      </c>
      <c r="I27" s="52" t="str">
        <f>IF(Table7[[#This Row],[RIDER]]="","",SUM(X27,AA27))</f>
        <v/>
      </c>
      <c r="J27" s="42" t="str">
        <f>IF(Table7[[#This Row],[RIDER]]="","",IF(COUNTIF(K27:T27, "E"), "E", (SUM(K27:T27)-U27)))</f>
        <v/>
      </c>
      <c r="K27" s="17">
        <v>0</v>
      </c>
      <c r="L27" s="17">
        <v>0</v>
      </c>
      <c r="M27" s="17">
        <v>0</v>
      </c>
      <c r="N27" s="17">
        <v>0</v>
      </c>
      <c r="O27" s="17">
        <v>0</v>
      </c>
      <c r="P27" s="17">
        <v>0</v>
      </c>
      <c r="Q27" s="17">
        <v>0</v>
      </c>
      <c r="R27" s="17">
        <v>0</v>
      </c>
      <c r="S27" s="17">
        <v>0</v>
      </c>
      <c r="T27" s="17">
        <v>0</v>
      </c>
      <c r="U27" s="17">
        <v>0</v>
      </c>
      <c r="V27" s="17"/>
      <c r="W27" s="17"/>
      <c r="X27" s="18" t="str">
        <f>IF(C27="","",IF(OR(Table7[[#This Row],[Outside/Broke (O/B)]]="O",Table7[[#This Row],[Outside/Broke (O/B)]]="B"),0,VLOOKUP((V27/MAlength*150),CanterScore,2,TRUE)))</f>
        <v/>
      </c>
      <c r="Y27" s="17"/>
      <c r="Z27" s="17"/>
      <c r="AA27" s="18" t="str">
        <f>IF(C27="","",IF(OR(Table7[[#This Row],[Outside/Broke (O/B)2]]="O",Table7[[#This Row],[Outside/Broke (O/B)2]]="B"),0,IF((Y27/MAlength*150)=0, 0,IF((Y27/MAlength*150)&lt;'MA calc'!$A$4, 15, VLOOKUP((Y27/MAlength*150),WalkScore,2,TRUE)))))</f>
        <v/>
      </c>
      <c r="AB27" s="17"/>
    </row>
    <row r="28" spans="1:28" s="35" customFormat="1" x14ac:dyDescent="0.3">
      <c r="A28" s="17"/>
      <c r="B28" s="17"/>
      <c r="C28" s="17"/>
      <c r="D28" s="17"/>
      <c r="E28" s="17"/>
      <c r="F28" s="17"/>
      <c r="G28" s="42" t="str">
        <f t="shared" si="0"/>
        <v/>
      </c>
      <c r="H28" s="52" t="str">
        <f>IF(Table7[[#This Row],[RIDER]]="","",IF((COUNTIF(J28, "E")), "E", (SUM(J28+I28))))</f>
        <v/>
      </c>
      <c r="I28" s="52" t="str">
        <f>IF(Table7[[#This Row],[RIDER]]="","",SUM(X28,AA28))</f>
        <v/>
      </c>
      <c r="J28" s="42" t="str">
        <f>IF(Table7[[#This Row],[RIDER]]="","",IF(COUNTIF(K28:T28, "E"), "E", (SUM(K28:T28)-U28)))</f>
        <v/>
      </c>
      <c r="K28" s="17">
        <v>0</v>
      </c>
      <c r="L28" s="17">
        <v>0</v>
      </c>
      <c r="M28" s="17">
        <v>0</v>
      </c>
      <c r="N28" s="17">
        <v>0</v>
      </c>
      <c r="O28" s="17">
        <v>0</v>
      </c>
      <c r="P28" s="17">
        <v>0</v>
      </c>
      <c r="Q28" s="17">
        <v>0</v>
      </c>
      <c r="R28" s="17">
        <v>0</v>
      </c>
      <c r="S28" s="17">
        <v>0</v>
      </c>
      <c r="T28" s="17">
        <v>0</v>
      </c>
      <c r="U28" s="17">
        <v>0</v>
      </c>
      <c r="V28" s="17"/>
      <c r="W28" s="17"/>
      <c r="X28" s="18" t="str">
        <f>IF(C28="","",IF(OR(Table7[[#This Row],[Outside/Broke (O/B)]]="O",Table7[[#This Row],[Outside/Broke (O/B)]]="B"),0,VLOOKUP((V28/MAlength*150),CanterScore,2,TRUE)))</f>
        <v/>
      </c>
      <c r="Y28" s="17"/>
      <c r="Z28" s="17"/>
      <c r="AA28" s="18" t="str">
        <f>IF(C28="","",IF(OR(Table7[[#This Row],[Outside/Broke (O/B)2]]="O",Table7[[#This Row],[Outside/Broke (O/B)2]]="B"),0,IF((Y28/MAlength*150)=0, 0,IF((Y28/MAlength*150)&lt;'MA calc'!$A$4, 15, VLOOKUP((Y28/MAlength*150),WalkScore,2,TRUE)))))</f>
        <v/>
      </c>
      <c r="AB28" s="17"/>
    </row>
    <row r="29" spans="1:28" s="35" customFormat="1" x14ac:dyDescent="0.3">
      <c r="A29" s="17"/>
      <c r="B29" s="17"/>
      <c r="C29" s="17"/>
      <c r="D29" s="17"/>
      <c r="E29" s="17"/>
      <c r="F29" s="17"/>
      <c r="G29" s="42" t="str">
        <f t="shared" si="0"/>
        <v/>
      </c>
      <c r="H29" s="52" t="str">
        <f>IF(Table7[[#This Row],[RIDER]]="","",IF((COUNTIF(J29, "E")), "E", (SUM(J29+I29))))</f>
        <v/>
      </c>
      <c r="I29" s="52" t="str">
        <f>IF(Table7[[#This Row],[RIDER]]="","",SUM(X29,AA29))</f>
        <v/>
      </c>
      <c r="J29" s="42" t="str">
        <f>IF(Table7[[#This Row],[RIDER]]="","",IF(COUNTIF(K29:T29, "E"), "E", (SUM(K29:T29)-U29)))</f>
        <v/>
      </c>
      <c r="K29" s="17">
        <v>0</v>
      </c>
      <c r="L29" s="17">
        <v>0</v>
      </c>
      <c r="M29" s="17">
        <v>0</v>
      </c>
      <c r="N29" s="17">
        <v>0</v>
      </c>
      <c r="O29" s="17">
        <v>0</v>
      </c>
      <c r="P29" s="17">
        <v>0</v>
      </c>
      <c r="Q29" s="17">
        <v>0</v>
      </c>
      <c r="R29" s="17">
        <v>0</v>
      </c>
      <c r="S29" s="17">
        <v>0</v>
      </c>
      <c r="T29" s="17">
        <v>0</v>
      </c>
      <c r="U29" s="17">
        <v>0</v>
      </c>
      <c r="V29" s="17"/>
      <c r="W29" s="17"/>
      <c r="X29" s="18" t="str">
        <f>IF(C29="","",IF(OR(Table7[[#This Row],[Outside/Broke (O/B)]]="O",Table7[[#This Row],[Outside/Broke (O/B)]]="B"),0,VLOOKUP((V29/MAlength*150),CanterScore,2,TRUE)))</f>
        <v/>
      </c>
      <c r="Y29" s="17"/>
      <c r="Z29" s="17"/>
      <c r="AA29" s="18" t="str">
        <f>IF(C29="","",IF(OR(Table7[[#This Row],[Outside/Broke (O/B)2]]="O",Table7[[#This Row],[Outside/Broke (O/B)2]]="B"),0,IF((Y29/MAlength*150)=0, 0,IF((Y29/MAlength*150)&lt;'MA calc'!$A$4, 15, VLOOKUP((Y29/MAlength*150),WalkScore,2,TRUE)))))</f>
        <v/>
      </c>
      <c r="AB29" s="17"/>
    </row>
    <row r="30" spans="1:28" s="35" customFormat="1" x14ac:dyDescent="0.3">
      <c r="A30" s="17"/>
      <c r="B30" s="17"/>
      <c r="C30" s="17"/>
      <c r="D30" s="17"/>
      <c r="E30" s="17"/>
      <c r="F30" s="17"/>
      <c r="G30" s="42" t="str">
        <f t="shared" si="0"/>
        <v/>
      </c>
      <c r="H30" s="52" t="str">
        <f>IF(Table7[[#This Row],[RIDER]]="","",IF((COUNTIF(J30, "E")), "E", (SUM(J30+I30))))</f>
        <v/>
      </c>
      <c r="I30" s="52" t="str">
        <f>IF(Table7[[#This Row],[RIDER]]="","",SUM(X30,AA30))</f>
        <v/>
      </c>
      <c r="J30" s="42" t="str">
        <f>IF(Table7[[#This Row],[RIDER]]="","",IF(COUNTIF(K30:T30, "E"), "E", (SUM(K30:T30)-U30)))</f>
        <v/>
      </c>
      <c r="K30" s="17">
        <v>0</v>
      </c>
      <c r="L30" s="17">
        <v>0</v>
      </c>
      <c r="M30" s="17">
        <v>0</v>
      </c>
      <c r="N30" s="17">
        <v>0</v>
      </c>
      <c r="O30" s="17">
        <v>0</v>
      </c>
      <c r="P30" s="17">
        <v>0</v>
      </c>
      <c r="Q30" s="17">
        <v>0</v>
      </c>
      <c r="R30" s="17">
        <v>0</v>
      </c>
      <c r="S30" s="17">
        <v>0</v>
      </c>
      <c r="T30" s="17">
        <v>0</v>
      </c>
      <c r="U30" s="17">
        <v>0</v>
      </c>
      <c r="V30" s="17"/>
      <c r="W30" s="17"/>
      <c r="X30" s="18" t="str">
        <f>IF(C30="","",IF(OR(Table7[[#This Row],[Outside/Broke (O/B)]]="O",Table7[[#This Row],[Outside/Broke (O/B)]]="B"),0,VLOOKUP((V30/MAlength*150),CanterScore,2,TRUE)))</f>
        <v/>
      </c>
      <c r="Y30" s="17"/>
      <c r="Z30" s="17"/>
      <c r="AA30" s="18" t="str">
        <f>IF(C30="","",IF(OR(Table7[[#This Row],[Outside/Broke (O/B)2]]="O",Table7[[#This Row],[Outside/Broke (O/B)2]]="B"),0,IF((Y30/MAlength*150)=0, 0,IF((Y30/MAlength*150)&lt;'MA calc'!$A$4, 15, VLOOKUP((Y30/MAlength*150),WalkScore,2,TRUE)))))</f>
        <v/>
      </c>
      <c r="AB30" s="17"/>
    </row>
    <row r="31" spans="1:28" s="35" customFormat="1" x14ac:dyDescent="0.3">
      <c r="A31" s="17"/>
      <c r="B31" s="17"/>
      <c r="C31" s="17"/>
      <c r="D31" s="17"/>
      <c r="E31" s="17"/>
      <c r="F31" s="17"/>
      <c r="G31" s="42" t="str">
        <f t="shared" si="0"/>
        <v/>
      </c>
      <c r="H31" s="52" t="str">
        <f>IF(Table7[[#This Row],[RIDER]]="","",IF((COUNTIF(J31, "E")), "E", (SUM(J31+I31))))</f>
        <v/>
      </c>
      <c r="I31" s="52" t="str">
        <f>IF(Table7[[#This Row],[RIDER]]="","",SUM(X31,AA31))</f>
        <v/>
      </c>
      <c r="J31" s="42" t="str">
        <f>IF(Table7[[#This Row],[RIDER]]="","",IF(COUNTIF(K31:T31, "E"), "E", (SUM(K31:T31)-U31)))</f>
        <v/>
      </c>
      <c r="K31" s="17">
        <v>0</v>
      </c>
      <c r="L31" s="17">
        <v>0</v>
      </c>
      <c r="M31" s="17">
        <v>0</v>
      </c>
      <c r="N31" s="17">
        <v>0</v>
      </c>
      <c r="O31" s="17">
        <v>0</v>
      </c>
      <c r="P31" s="17">
        <v>0</v>
      </c>
      <c r="Q31" s="17">
        <v>0</v>
      </c>
      <c r="R31" s="17">
        <v>0</v>
      </c>
      <c r="S31" s="17">
        <v>0</v>
      </c>
      <c r="T31" s="17">
        <v>0</v>
      </c>
      <c r="U31" s="17">
        <v>0</v>
      </c>
      <c r="V31" s="17"/>
      <c r="W31" s="17"/>
      <c r="X31" s="18" t="str">
        <f>IF(C31="","",IF(OR(Table7[[#This Row],[Outside/Broke (O/B)]]="O",Table7[[#This Row],[Outside/Broke (O/B)]]="B"),0,VLOOKUP((V31/MAlength*150),CanterScore,2,TRUE)))</f>
        <v/>
      </c>
      <c r="Y31" s="17"/>
      <c r="Z31" s="17"/>
      <c r="AA31" s="18" t="str">
        <f>IF(C31="","",IF(OR(Table7[[#This Row],[Outside/Broke (O/B)2]]="O",Table7[[#This Row],[Outside/Broke (O/B)2]]="B"),0,IF((Y31/MAlength*150)=0, 0,IF((Y31/MAlength*150)&lt;'MA calc'!$A$4, 15, VLOOKUP((Y31/MAlength*150),WalkScore,2,TRUE)))))</f>
        <v/>
      </c>
      <c r="AB31" s="17"/>
    </row>
    <row r="32" spans="1:28" s="35" customFormat="1" x14ac:dyDescent="0.3">
      <c r="A32" s="17"/>
      <c r="B32" s="17"/>
      <c r="C32" s="17"/>
      <c r="D32" s="17"/>
      <c r="E32" s="17"/>
      <c r="F32" s="17"/>
      <c r="G32" s="42" t="str">
        <f t="shared" si="0"/>
        <v/>
      </c>
      <c r="H32" s="52" t="str">
        <f>IF(Table7[[#This Row],[RIDER]]="","",IF((COUNTIF(J32, "E")), "E", (SUM(J32+I32))))</f>
        <v/>
      </c>
      <c r="I32" s="52" t="str">
        <f>IF(Table7[[#This Row],[RIDER]]="","",SUM(X32,AA32))</f>
        <v/>
      </c>
      <c r="J32" s="42" t="str">
        <f>IF(Table7[[#This Row],[RIDER]]="","",IF(COUNTIF(K32:T32, "E"), "E", (SUM(K32:T32)-U32)))</f>
        <v/>
      </c>
      <c r="K32" s="17">
        <v>0</v>
      </c>
      <c r="L32" s="17">
        <v>0</v>
      </c>
      <c r="M32" s="17">
        <v>0</v>
      </c>
      <c r="N32" s="17">
        <v>0</v>
      </c>
      <c r="O32" s="17">
        <v>0</v>
      </c>
      <c r="P32" s="17">
        <v>0</v>
      </c>
      <c r="Q32" s="17">
        <v>0</v>
      </c>
      <c r="R32" s="17">
        <v>0</v>
      </c>
      <c r="S32" s="17">
        <v>0</v>
      </c>
      <c r="T32" s="17">
        <v>0</v>
      </c>
      <c r="U32" s="17">
        <v>0</v>
      </c>
      <c r="V32" s="17"/>
      <c r="W32" s="17"/>
      <c r="X32" s="18" t="str">
        <f>IF(C32="","",IF(OR(Table7[[#This Row],[Outside/Broke (O/B)]]="O",Table7[[#This Row],[Outside/Broke (O/B)]]="B"),0,VLOOKUP((V32/MAlength*150),CanterScore,2,TRUE)))</f>
        <v/>
      </c>
      <c r="Y32" s="17"/>
      <c r="Z32" s="17"/>
      <c r="AA32" s="18" t="str">
        <f>IF(C32="","",IF(OR(Table7[[#This Row],[Outside/Broke (O/B)2]]="O",Table7[[#This Row],[Outside/Broke (O/B)2]]="B"),0,IF((Y32/MAlength*150)=0, 0,IF((Y32/MAlength*150)&lt;'MA calc'!$A$4, 15, VLOOKUP((Y32/MAlength*150),WalkScore,2,TRUE)))))</f>
        <v/>
      </c>
      <c r="AB32" s="17"/>
    </row>
    <row r="33" spans="1:28" s="35" customFormat="1" x14ac:dyDescent="0.3">
      <c r="A33" s="17"/>
      <c r="B33" s="17"/>
      <c r="C33" s="17"/>
      <c r="D33" s="17"/>
      <c r="E33" s="17"/>
      <c r="F33" s="17"/>
      <c r="G33" s="42" t="str">
        <f t="shared" si="0"/>
        <v/>
      </c>
      <c r="H33" s="52" t="str">
        <f>IF(Table7[[#This Row],[RIDER]]="","",IF((COUNTIF(J33, "E")), "E", (SUM(J33+I33))))</f>
        <v/>
      </c>
      <c r="I33" s="52" t="str">
        <f>IF(Table7[[#This Row],[RIDER]]="","",SUM(X33,AA33))</f>
        <v/>
      </c>
      <c r="J33" s="42" t="str">
        <f>IF(Table7[[#This Row],[RIDER]]="","",IF(COUNTIF(K33:T33, "E"), "E", (SUM(K33:T33)-U33)))</f>
        <v/>
      </c>
      <c r="K33" s="17">
        <v>0</v>
      </c>
      <c r="L33" s="17">
        <v>0</v>
      </c>
      <c r="M33" s="17">
        <v>0</v>
      </c>
      <c r="N33" s="17">
        <v>0</v>
      </c>
      <c r="O33" s="17">
        <v>0</v>
      </c>
      <c r="P33" s="17">
        <v>0</v>
      </c>
      <c r="Q33" s="17">
        <v>0</v>
      </c>
      <c r="R33" s="17">
        <v>0</v>
      </c>
      <c r="S33" s="17">
        <v>0</v>
      </c>
      <c r="T33" s="17">
        <v>0</v>
      </c>
      <c r="U33" s="17">
        <v>0</v>
      </c>
      <c r="V33" s="17"/>
      <c r="W33" s="17"/>
      <c r="X33" s="18" t="str">
        <f>IF(C33="","",IF(OR(Table7[[#This Row],[Outside/Broke (O/B)]]="O",Table7[[#This Row],[Outside/Broke (O/B)]]="B"),0,VLOOKUP((V33/MAlength*150),CanterScore,2,TRUE)))</f>
        <v/>
      </c>
      <c r="Y33" s="17"/>
      <c r="Z33" s="17"/>
      <c r="AA33" s="18" t="str">
        <f>IF(C33="","",IF(OR(Table7[[#This Row],[Outside/Broke (O/B)2]]="O",Table7[[#This Row],[Outside/Broke (O/B)2]]="B"),0,IF((Y33/MAlength*150)=0, 0,IF((Y33/MAlength*150)&lt;'MA calc'!$A$4, 15, VLOOKUP((Y33/MAlength*150),WalkScore,2,TRUE)))))</f>
        <v/>
      </c>
      <c r="AB33" s="17"/>
    </row>
    <row r="34" spans="1:28" s="35" customFormat="1" x14ac:dyDescent="0.3">
      <c r="A34" s="17"/>
      <c r="B34" s="17"/>
      <c r="C34" s="17"/>
      <c r="D34" s="17"/>
      <c r="E34" s="17"/>
      <c r="F34" s="17"/>
      <c r="G34" s="42" t="str">
        <f t="shared" si="0"/>
        <v/>
      </c>
      <c r="H34" s="52" t="str">
        <f>IF(Table7[[#This Row],[RIDER]]="","",IF((COUNTIF(J34, "E")), "E", (SUM(J34+I34))))</f>
        <v/>
      </c>
      <c r="I34" s="52" t="str">
        <f>IF(Table7[[#This Row],[RIDER]]="","",SUM(X34,AA34))</f>
        <v/>
      </c>
      <c r="J34" s="42" t="str">
        <f>IF(Table7[[#This Row],[RIDER]]="","",IF(COUNTIF(K34:T34, "E"), "E", (SUM(K34:T34)-U34)))</f>
        <v/>
      </c>
      <c r="K34" s="17">
        <v>0</v>
      </c>
      <c r="L34" s="17">
        <v>0</v>
      </c>
      <c r="M34" s="17">
        <v>0</v>
      </c>
      <c r="N34" s="17">
        <v>0</v>
      </c>
      <c r="O34" s="17">
        <v>0</v>
      </c>
      <c r="P34" s="17">
        <v>0</v>
      </c>
      <c r="Q34" s="17">
        <v>0</v>
      </c>
      <c r="R34" s="17">
        <v>0</v>
      </c>
      <c r="S34" s="17">
        <v>0</v>
      </c>
      <c r="T34" s="17">
        <v>0</v>
      </c>
      <c r="U34" s="17">
        <v>0</v>
      </c>
      <c r="V34" s="17"/>
      <c r="W34" s="17"/>
      <c r="X34" s="18" t="str">
        <f>IF(C34="","",IF(OR(Table7[[#This Row],[Outside/Broke (O/B)]]="O",Table7[[#This Row],[Outside/Broke (O/B)]]="B"),0,VLOOKUP((V34/MAlength*150),CanterScore,2,TRUE)))</f>
        <v/>
      </c>
      <c r="Y34" s="17"/>
      <c r="Z34" s="17"/>
      <c r="AA34" s="18" t="str">
        <f>IF(C34="","",IF(OR(Table7[[#This Row],[Outside/Broke (O/B)2]]="O",Table7[[#This Row],[Outside/Broke (O/B)2]]="B"),0,IF((Y34/MAlength*150)=0, 0,IF((Y34/MAlength*150)&lt;'MA calc'!$A$4, 15, VLOOKUP((Y34/MAlength*150),WalkScore,2,TRUE)))))</f>
        <v/>
      </c>
      <c r="AB34" s="17"/>
    </row>
    <row r="35" spans="1:28" s="35" customFormat="1" x14ac:dyDescent="0.3">
      <c r="A35" s="17"/>
      <c r="B35" s="17"/>
      <c r="C35" s="17"/>
      <c r="D35" s="17"/>
      <c r="E35" s="17"/>
      <c r="F35" s="17"/>
      <c r="G35" s="42" t="str">
        <f t="shared" si="0"/>
        <v/>
      </c>
      <c r="H35" s="52" t="str">
        <f>IF(Table7[[#This Row],[RIDER]]="","",IF((COUNTIF(J35, "E")), "E", (SUM(J35+I35))))</f>
        <v/>
      </c>
      <c r="I35" s="52" t="str">
        <f>IF(Table7[[#This Row],[RIDER]]="","",SUM(X35,AA35))</f>
        <v/>
      </c>
      <c r="J35" s="42" t="str">
        <f>IF(Table7[[#This Row],[RIDER]]="","",IF(COUNTIF(K35:T35, "E"), "E", (SUM(K35:T35)-U35)))</f>
        <v/>
      </c>
      <c r="K35" s="17">
        <v>0</v>
      </c>
      <c r="L35" s="17">
        <v>0</v>
      </c>
      <c r="M35" s="17">
        <v>0</v>
      </c>
      <c r="N35" s="17">
        <v>0</v>
      </c>
      <c r="O35" s="17">
        <v>0</v>
      </c>
      <c r="P35" s="17">
        <v>0</v>
      </c>
      <c r="Q35" s="17">
        <v>0</v>
      </c>
      <c r="R35" s="17">
        <v>0</v>
      </c>
      <c r="S35" s="17">
        <v>0</v>
      </c>
      <c r="T35" s="17">
        <v>0</v>
      </c>
      <c r="U35" s="17">
        <v>0</v>
      </c>
      <c r="V35" s="17"/>
      <c r="W35" s="17"/>
      <c r="X35" s="18" t="str">
        <f>IF(C35="","",IF(OR(Table7[[#This Row],[Outside/Broke (O/B)]]="O",Table7[[#This Row],[Outside/Broke (O/B)]]="B"),0,VLOOKUP((V35/MAlength*150),CanterScore,2,TRUE)))</f>
        <v/>
      </c>
      <c r="Y35" s="17"/>
      <c r="Z35" s="17"/>
      <c r="AA35" s="18" t="str">
        <f>IF(C35="","",IF(OR(Table7[[#This Row],[Outside/Broke (O/B)2]]="O",Table7[[#This Row],[Outside/Broke (O/B)2]]="B"),0,IF((Y35/MAlength*150)=0, 0,IF((Y35/MAlength*150)&lt;'MA calc'!$A$4, 15, VLOOKUP((Y35/MAlength*150),WalkScore,2,TRUE)))))</f>
        <v/>
      </c>
      <c r="AB35" s="17"/>
    </row>
  </sheetData>
  <mergeCells count="5">
    <mergeCell ref="D6:E6"/>
    <mergeCell ref="H6:I6"/>
    <mergeCell ref="K6:L6"/>
    <mergeCell ref="M6:T6"/>
    <mergeCell ref="D7:E7"/>
  </mergeCells>
  <phoneticPr fontId="26" type="noConversion"/>
  <conditionalFormatting sqref="K11:U35">
    <cfRule type="cellIs" dxfId="3" priority="1" operator="greaterThan">
      <formula>10</formula>
    </cfRule>
  </conditionalFormatting>
  <dataValidations count="3">
    <dataValidation type="list" allowBlank="1" showDropDown="1" showErrorMessage="1" errorTitle="Invalid entry" error="Please enter O or B only" sqref="W11:W35 Z11:Z35" xr:uid="{A1AC3DB5-0797-4F89-B6A7-C6D864F9D941}">
      <formula1>"B,O"</formula1>
    </dataValidation>
    <dataValidation type="list" allowBlank="1" showDropDown="1" showErrorMessage="1" errorTitle="Invalid entry" error="Please enter Y or N only" sqref="E11:E35" xr:uid="{4FA5FD20-7E46-4B7D-95D4-361E931BB31A}">
      <formula1>"N,Y"</formula1>
    </dataValidation>
    <dataValidation type="list" operator="lessThanOrEqual" allowBlank="1" showDropDown="1" showInputMessage="1" showErrorMessage="1" errorTitle="Invalid entry" error="The maximum score for each obstacle is 10. _x000a_Please enter a number between -5 and 20, or an E." sqref="K11:U35" xr:uid="{F85B3B14-193C-4D3D-919C-1F7588266CC0}">
      <formula1>"0,1,2,3,4,5,6,7,8,9,10,11,12,13,14,15,16,17,18,19,20,E,-1,-2,-3,-4,-5"</formula1>
    </dataValidation>
  </dataValidations>
  <printOptions horizontalCentered="1" verticalCentered="1"/>
  <pageMargins left="0.23622047244094491" right="0.23622047244094491" top="0.74803149606299213" bottom="0.74803149606299213" header="0.31496062992125984" footer="0.31496062992125984"/>
  <pageSetup paperSize="9" scale="53" orientation="landscape" r:id="rId1"/>
  <drawing r:id="rId2"/>
  <tableParts count="1">
    <tablePart r:id="rId3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7B179C-7CB0-4516-BC6F-A20675E1995A}">
  <sheetPr>
    <pageSetUpPr fitToPage="1"/>
  </sheetPr>
  <dimension ref="A1:AB35"/>
  <sheetViews>
    <sheetView topLeftCell="F10" zoomScale="75" zoomScaleNormal="75" workbookViewId="0">
      <selection activeCell="K11" sqref="K11:U35"/>
    </sheetView>
  </sheetViews>
  <sheetFormatPr defaultColWidth="8.69921875" defaultRowHeight="14.4" x14ac:dyDescent="0.3"/>
  <cols>
    <col min="1" max="1" width="17.19921875" style="14" bestFit="1" customWidth="1"/>
    <col min="2" max="2" width="14.3984375" style="14" bestFit="1" customWidth="1"/>
    <col min="3" max="3" width="15.69921875" style="14" bestFit="1" customWidth="1"/>
    <col min="4" max="4" width="19.19921875" style="14" bestFit="1" customWidth="1"/>
    <col min="5" max="5" width="12.8984375" style="14" customWidth="1"/>
    <col min="6" max="6" width="21.19921875" style="14" customWidth="1"/>
    <col min="7" max="7" width="17.19921875" style="14" bestFit="1" customWidth="1"/>
    <col min="8" max="8" width="11.3984375" style="1" customWidth="1"/>
    <col min="9" max="9" width="10.5" style="1" customWidth="1"/>
    <col min="10" max="10" width="12.5" style="14" bestFit="1" customWidth="1"/>
    <col min="11" max="11" width="8.69921875" style="14" customWidth="1"/>
    <col min="12" max="12" width="8.5" style="14" customWidth="1"/>
    <col min="13" max="15" width="6.69921875" style="14" customWidth="1"/>
    <col min="16" max="16" width="7.19921875" style="14" customWidth="1"/>
    <col min="17" max="21" width="6.69921875" style="14" customWidth="1"/>
    <col min="22" max="23" width="9" style="14" customWidth="1"/>
    <col min="24" max="24" width="6.69921875" style="1" customWidth="1"/>
    <col min="25" max="25" width="9" style="14" customWidth="1"/>
    <col min="26" max="27" width="6.69921875" style="1" customWidth="1"/>
    <col min="28" max="28" width="4.5" style="14" hidden="1" customWidth="1"/>
    <col min="29" max="29" width="23.09765625" style="14" customWidth="1"/>
    <col min="30" max="30" width="3.3984375" style="14" customWidth="1"/>
    <col min="31" max="31" width="2.59765625" style="14" customWidth="1"/>
    <col min="32" max="32" width="2.5" style="14" customWidth="1"/>
    <col min="33" max="33" width="8.69921875" style="14"/>
    <col min="34" max="34" width="8.69921875" style="14" customWidth="1"/>
    <col min="35" max="16384" width="8.69921875" style="14"/>
  </cols>
  <sheetData>
    <row r="1" spans="1:28" ht="3" customHeight="1" x14ac:dyDescent="0.3"/>
    <row r="2" spans="1:28" ht="23.4" customHeight="1" x14ac:dyDescent="0.45">
      <c r="A2" s="23"/>
      <c r="B2" s="23"/>
      <c r="F2" s="7" t="s">
        <v>14</v>
      </c>
      <c r="T2" s="1"/>
      <c r="U2" s="1"/>
    </row>
    <row r="3" spans="1:28" ht="14.55" customHeight="1" x14ac:dyDescent="0.3">
      <c r="A3" s="23"/>
      <c r="B3" s="23"/>
      <c r="I3" s="2"/>
      <c r="W3" s="1"/>
      <c r="Y3" s="1"/>
    </row>
    <row r="4" spans="1:28" ht="15.6" x14ac:dyDescent="0.3">
      <c r="A4" s="23"/>
      <c r="B4" s="23"/>
      <c r="F4" s="3"/>
      <c r="I4" s="2"/>
      <c r="M4" s="3"/>
      <c r="Y4" s="1"/>
    </row>
    <row r="5" spans="1:28" ht="14.55" customHeight="1" x14ac:dyDescent="0.3">
      <c r="A5" s="23"/>
      <c r="B5" s="23"/>
      <c r="L5" s="32"/>
      <c r="M5" s="33"/>
      <c r="N5" s="33"/>
      <c r="Y5" s="1"/>
    </row>
    <row r="6" spans="1:28" s="4" customFormat="1" ht="21" x14ac:dyDescent="0.4">
      <c r="A6" s="23"/>
      <c r="B6" s="23"/>
      <c r="C6" s="15" t="s">
        <v>8</v>
      </c>
      <c r="D6" s="63" t="str">
        <f>'Print All Summary'!B6</f>
        <v>Avon Riding Centre</v>
      </c>
      <c r="E6" s="63"/>
      <c r="F6" s="14"/>
      <c r="G6" s="22" t="s">
        <v>9</v>
      </c>
      <c r="H6" s="65">
        <f>'Print All Summary'!F6</f>
        <v>46068</v>
      </c>
      <c r="I6" s="65"/>
      <c r="K6" s="66" t="s">
        <v>15</v>
      </c>
      <c r="L6" s="66"/>
      <c r="M6" s="63" t="str">
        <f>'Print All Summary'!B7</f>
        <v>Wessex TREC</v>
      </c>
      <c r="N6" s="63"/>
      <c r="O6" s="63"/>
      <c r="P6" s="63"/>
      <c r="Q6" s="63"/>
      <c r="R6" s="63"/>
      <c r="S6" s="63"/>
      <c r="T6" s="63"/>
      <c r="U6" s="14"/>
      <c r="X6" s="1"/>
      <c r="Y6" s="1"/>
      <c r="Z6" s="1"/>
      <c r="AA6" s="1"/>
    </row>
    <row r="7" spans="1:28" s="4" customFormat="1" ht="30" customHeight="1" x14ac:dyDescent="0.4">
      <c r="A7" s="23"/>
      <c r="B7" s="23"/>
      <c r="C7" s="15" t="s">
        <v>16</v>
      </c>
      <c r="D7" s="64" t="s">
        <v>49</v>
      </c>
      <c r="E7" s="64"/>
      <c r="F7" s="14"/>
      <c r="H7" s="5"/>
      <c r="I7" s="5"/>
      <c r="U7" s="14"/>
      <c r="X7" s="1"/>
      <c r="Y7" s="1"/>
      <c r="Z7" s="1"/>
      <c r="AA7" s="1"/>
    </row>
    <row r="8" spans="1:28" s="4" customFormat="1" ht="21" x14ac:dyDescent="0.4">
      <c r="A8" s="23"/>
      <c r="B8" s="23"/>
      <c r="C8" s="15"/>
      <c r="D8" s="15"/>
      <c r="E8" s="15"/>
      <c r="H8" s="5"/>
      <c r="I8" s="5"/>
      <c r="X8" s="5"/>
      <c r="Z8" s="5"/>
      <c r="AA8" s="5"/>
    </row>
    <row r="9" spans="1:28" ht="15.6" x14ac:dyDescent="0.3">
      <c r="F9" s="16"/>
      <c r="K9" s="16"/>
      <c r="L9" s="16"/>
      <c r="M9" s="16"/>
      <c r="N9" s="16"/>
      <c r="O9" s="16"/>
      <c r="P9" s="16"/>
      <c r="Q9" s="16"/>
    </row>
    <row r="10" spans="1:28" s="34" customFormat="1" ht="122.55" customHeight="1" x14ac:dyDescent="0.25">
      <c r="A10" s="28" t="s">
        <v>18</v>
      </c>
      <c r="B10" s="29" t="s">
        <v>19</v>
      </c>
      <c r="C10" s="19" t="s">
        <v>20</v>
      </c>
      <c r="D10" s="20" t="s">
        <v>21</v>
      </c>
      <c r="E10" s="20" t="s">
        <v>22</v>
      </c>
      <c r="F10" s="20" t="s">
        <v>23</v>
      </c>
      <c r="G10" s="21" t="s">
        <v>24</v>
      </c>
      <c r="H10" s="21" t="s">
        <v>25</v>
      </c>
      <c r="I10" s="21" t="s">
        <v>26</v>
      </c>
      <c r="J10" s="27" t="s">
        <v>45</v>
      </c>
      <c r="K10" s="26" t="s">
        <v>28</v>
      </c>
      <c r="L10" s="26" t="s">
        <v>29</v>
      </c>
      <c r="M10" s="26" t="s">
        <v>30</v>
      </c>
      <c r="N10" s="26" t="s">
        <v>31</v>
      </c>
      <c r="O10" s="26" t="s">
        <v>32</v>
      </c>
      <c r="P10" s="26" t="s">
        <v>33</v>
      </c>
      <c r="Q10" s="26" t="s">
        <v>34</v>
      </c>
      <c r="R10" s="26" t="s">
        <v>35</v>
      </c>
      <c r="S10" s="26" t="s">
        <v>36</v>
      </c>
      <c r="T10" s="26" t="s">
        <v>37</v>
      </c>
      <c r="U10" s="30" t="s">
        <v>56</v>
      </c>
      <c r="V10" s="24" t="s">
        <v>38</v>
      </c>
      <c r="W10" s="24" t="s">
        <v>39</v>
      </c>
      <c r="X10" s="25" t="s">
        <v>40</v>
      </c>
      <c r="Y10" s="24" t="s">
        <v>41</v>
      </c>
      <c r="Z10" s="24" t="s">
        <v>42</v>
      </c>
      <c r="AA10" s="25" t="s">
        <v>43</v>
      </c>
      <c r="AB10" s="39" t="s">
        <v>13</v>
      </c>
    </row>
    <row r="11" spans="1:28" s="35" customFormat="1" x14ac:dyDescent="0.3">
      <c r="A11" s="17"/>
      <c r="B11" s="17"/>
      <c r="C11" s="17"/>
      <c r="D11" s="17"/>
      <c r="E11" s="17"/>
      <c r="F11" s="17"/>
      <c r="G11" s="42" t="str">
        <f>IF(H11="E","E",(IF(C11="","",_xlfn.RANK.EQ($H11,$H$11:$H$35)+COUNTIFS($H$11:$H$35,$H11,$J$11:$J$35,"&gt;"&amp;$J11))))</f>
        <v/>
      </c>
      <c r="H11" s="52" t="str">
        <f>IF(Table8[[#This Row],[RIDER]]="","",IF((COUNTIF(J11, "E")), "E", (SUM(J11+I11))))</f>
        <v/>
      </c>
      <c r="I11" s="52" t="str">
        <f>IF(Table8[[#This Row],[RIDER]]="","",SUM(X11,AA11))</f>
        <v/>
      </c>
      <c r="J11" s="42" t="str">
        <f>IF(Table8[[#This Row],[RIDER]]="","",IF(COUNTIF(K11:T11, "E"), "E", (SUM(K11:T11)-U11)))</f>
        <v/>
      </c>
      <c r="K11" s="17">
        <v>0</v>
      </c>
      <c r="L11" s="17">
        <v>0</v>
      </c>
      <c r="M11" s="17">
        <v>0</v>
      </c>
      <c r="N11" s="17">
        <v>0</v>
      </c>
      <c r="O11" s="17">
        <v>0</v>
      </c>
      <c r="P11" s="17">
        <v>0</v>
      </c>
      <c r="Q11" s="17">
        <v>0</v>
      </c>
      <c r="R11" s="17">
        <v>0</v>
      </c>
      <c r="S11" s="17">
        <v>0</v>
      </c>
      <c r="T11" s="17">
        <v>0</v>
      </c>
      <c r="U11" s="17">
        <v>0</v>
      </c>
      <c r="V11" s="17"/>
      <c r="W11" s="17"/>
      <c r="X11" s="18" t="str">
        <f>IF(C11="","",IF(OR(Table8[[#This Row],[Outside/Broke (O/B)]]="O",Table8[[#This Row],[Outside/Broke (O/B)]]="B"),0,VLOOKUP((V11/MAlength*150),CanterScore,2,TRUE)))</f>
        <v/>
      </c>
      <c r="Y11" s="17"/>
      <c r="Z11" s="17"/>
      <c r="AA11" s="18" t="str">
        <f>IF(C11="","",IF(OR(Table8[[#This Row],[Outside/Broke (O/B)2]]="O",Table8[[#This Row],[Outside/Broke (O/B)2]]="B"),0,IF((Y11/MAlength*150)=0, 0,IF((Y11/MAlength*150)&lt;'MA calc'!$A$4, 15, VLOOKUP((Y11/MAlength*150),WalkScore,2,TRUE)))))</f>
        <v/>
      </c>
      <c r="AB11" s="17"/>
    </row>
    <row r="12" spans="1:28" s="35" customFormat="1" x14ac:dyDescent="0.3">
      <c r="A12" s="17"/>
      <c r="B12" s="17"/>
      <c r="C12" s="17"/>
      <c r="D12" s="17"/>
      <c r="E12" s="17"/>
      <c r="F12" s="17"/>
      <c r="G12" s="42" t="str">
        <f t="shared" ref="G12:G35" si="0">IF(H12="E","E",(IF(C12="","",_xlfn.RANK.EQ($H12,$H$11:$H$35)+COUNTIFS($H$11:$H$35,$H12,$J$11:$J$35,"&gt;"&amp;$J12))))</f>
        <v/>
      </c>
      <c r="H12" s="52" t="str">
        <f>IF(Table8[[#This Row],[RIDER]]="","",IF((COUNTIF(J12, "E")), "E", (SUM(J12+I12))))</f>
        <v/>
      </c>
      <c r="I12" s="52" t="str">
        <f>IF(Table8[[#This Row],[RIDER]]="","",SUM(X12,AA12))</f>
        <v/>
      </c>
      <c r="J12" s="42" t="str">
        <f>IF(Table8[[#This Row],[RIDER]]="","",IF(COUNTIF(K12:T12, "E"), "E", (SUM(K12:T12)-U12)))</f>
        <v/>
      </c>
      <c r="K12" s="17">
        <v>0</v>
      </c>
      <c r="L12" s="17">
        <v>0</v>
      </c>
      <c r="M12" s="17">
        <v>0</v>
      </c>
      <c r="N12" s="17">
        <v>0</v>
      </c>
      <c r="O12" s="17">
        <v>0</v>
      </c>
      <c r="P12" s="17">
        <v>0</v>
      </c>
      <c r="Q12" s="17">
        <v>0</v>
      </c>
      <c r="R12" s="17">
        <v>0</v>
      </c>
      <c r="S12" s="17">
        <v>0</v>
      </c>
      <c r="T12" s="17">
        <v>0</v>
      </c>
      <c r="U12" s="17">
        <v>0</v>
      </c>
      <c r="V12" s="17"/>
      <c r="W12" s="17"/>
      <c r="X12" s="18" t="str">
        <f>IF(C12="","",IF(OR(Table8[[#This Row],[Outside/Broke (O/B)]]="O",Table8[[#This Row],[Outside/Broke (O/B)]]="B"),0,VLOOKUP((V12/MAlength*150),CanterScore,2,TRUE)))</f>
        <v/>
      </c>
      <c r="Y12" s="17"/>
      <c r="Z12" s="17"/>
      <c r="AA12" s="18" t="str">
        <f>IF(C12="","",IF(OR(Table8[[#This Row],[Outside/Broke (O/B)2]]="O",Table8[[#This Row],[Outside/Broke (O/B)2]]="B"),0,IF((Y12/MAlength*150)=0, 0,IF((Y12/MAlength*150)&lt;'MA calc'!$A$4, 15, VLOOKUP((Y12/MAlength*150),WalkScore,2,TRUE)))))</f>
        <v/>
      </c>
      <c r="AB12" s="17"/>
    </row>
    <row r="13" spans="1:28" s="35" customFormat="1" x14ac:dyDescent="0.3">
      <c r="A13" s="17"/>
      <c r="B13" s="17"/>
      <c r="C13" s="17"/>
      <c r="D13" s="17"/>
      <c r="E13" s="17"/>
      <c r="F13" s="17"/>
      <c r="G13" s="42" t="str">
        <f t="shared" si="0"/>
        <v/>
      </c>
      <c r="H13" s="52" t="str">
        <f>IF(Table8[[#This Row],[RIDER]]="","",IF((COUNTIF(J13, "E")), "E", (SUM(J13+I13))))</f>
        <v/>
      </c>
      <c r="I13" s="52" t="str">
        <f>IF(Table8[[#This Row],[RIDER]]="","",SUM(X13,AA13))</f>
        <v/>
      </c>
      <c r="J13" s="42" t="str">
        <f>IF(Table8[[#This Row],[RIDER]]="","",IF(COUNTIF(K13:T13, "E"), "E", (SUM(K13:T13)-U13)))</f>
        <v/>
      </c>
      <c r="K13" s="17">
        <v>0</v>
      </c>
      <c r="L13" s="17">
        <v>0</v>
      </c>
      <c r="M13" s="17">
        <v>0</v>
      </c>
      <c r="N13" s="17">
        <v>0</v>
      </c>
      <c r="O13" s="17">
        <v>0</v>
      </c>
      <c r="P13" s="17">
        <v>0</v>
      </c>
      <c r="Q13" s="17">
        <v>0</v>
      </c>
      <c r="R13" s="17">
        <v>0</v>
      </c>
      <c r="S13" s="17">
        <v>0</v>
      </c>
      <c r="T13" s="17">
        <v>0</v>
      </c>
      <c r="U13" s="17">
        <v>0</v>
      </c>
      <c r="V13" s="17"/>
      <c r="W13" s="17"/>
      <c r="X13" s="18" t="str">
        <f>IF(C13="","",IF(OR(Table8[[#This Row],[Outside/Broke (O/B)]]="O",Table8[[#This Row],[Outside/Broke (O/B)]]="B"),0,VLOOKUP((V13/MAlength*150),CanterScore,2,TRUE)))</f>
        <v/>
      </c>
      <c r="Y13" s="17"/>
      <c r="Z13" s="17"/>
      <c r="AA13" s="18" t="str">
        <f>IF(C13="","",IF(OR(Table8[[#This Row],[Outside/Broke (O/B)2]]="O",Table8[[#This Row],[Outside/Broke (O/B)2]]="B"),0,IF((Y13/MAlength*150)=0, 0,IF((Y13/MAlength*150)&lt;'MA calc'!$A$4, 15, VLOOKUP((Y13/MAlength*150),WalkScore,2,TRUE)))))</f>
        <v/>
      </c>
      <c r="AB13" s="17"/>
    </row>
    <row r="14" spans="1:28" s="35" customFormat="1" x14ac:dyDescent="0.3">
      <c r="A14" s="17"/>
      <c r="B14" s="17"/>
      <c r="C14" s="17"/>
      <c r="D14" s="17"/>
      <c r="E14" s="17"/>
      <c r="F14" s="17"/>
      <c r="G14" s="42" t="str">
        <f t="shared" si="0"/>
        <v/>
      </c>
      <c r="H14" s="52" t="str">
        <f>IF(Table8[[#This Row],[RIDER]]="","",IF((COUNTIF(J14, "E")), "E", (SUM(J14+I14))))</f>
        <v/>
      </c>
      <c r="I14" s="52" t="str">
        <f>IF(Table8[[#This Row],[RIDER]]="","",SUM(X14,AA14))</f>
        <v/>
      </c>
      <c r="J14" s="42" t="str">
        <f>IF(Table8[[#This Row],[RIDER]]="","",IF(COUNTIF(K14:T14, "E"), "E", (SUM(K14:T14)-U14)))</f>
        <v/>
      </c>
      <c r="K14" s="17">
        <v>0</v>
      </c>
      <c r="L14" s="17">
        <v>0</v>
      </c>
      <c r="M14" s="17">
        <v>0</v>
      </c>
      <c r="N14" s="17">
        <v>0</v>
      </c>
      <c r="O14" s="17">
        <v>0</v>
      </c>
      <c r="P14" s="17">
        <v>0</v>
      </c>
      <c r="Q14" s="17">
        <v>0</v>
      </c>
      <c r="R14" s="17">
        <v>0</v>
      </c>
      <c r="S14" s="17">
        <v>0</v>
      </c>
      <c r="T14" s="17">
        <v>0</v>
      </c>
      <c r="U14" s="17">
        <v>0</v>
      </c>
      <c r="V14" s="17"/>
      <c r="W14" s="17"/>
      <c r="X14" s="18" t="str">
        <f>IF(C14="","",IF(OR(Table8[[#This Row],[Outside/Broke (O/B)]]="O",Table8[[#This Row],[Outside/Broke (O/B)]]="B"),0,VLOOKUP((V14/MAlength*150),CanterScore,2,TRUE)))</f>
        <v/>
      </c>
      <c r="Y14" s="17"/>
      <c r="Z14" s="17"/>
      <c r="AA14" s="18" t="str">
        <f>IF(C14="","",IF(OR(Table8[[#This Row],[Outside/Broke (O/B)2]]="O",Table8[[#This Row],[Outside/Broke (O/B)2]]="B"),0,IF((Y14/MAlength*150)=0, 0,IF((Y14/MAlength*150)&lt;'MA calc'!$A$4, 15, VLOOKUP((Y14/MAlength*150),WalkScore,2,TRUE)))))</f>
        <v/>
      </c>
      <c r="AB14" s="17"/>
    </row>
    <row r="15" spans="1:28" s="35" customFormat="1" x14ac:dyDescent="0.3">
      <c r="A15" s="17"/>
      <c r="B15" s="17"/>
      <c r="C15" s="17"/>
      <c r="D15" s="17"/>
      <c r="E15" s="17"/>
      <c r="F15" s="17"/>
      <c r="G15" s="42" t="str">
        <f t="shared" si="0"/>
        <v/>
      </c>
      <c r="H15" s="52" t="str">
        <f>IF(Table8[[#This Row],[RIDER]]="","",IF((COUNTIF(J15, "E")), "E", (SUM(J15+I15))))</f>
        <v/>
      </c>
      <c r="I15" s="52" t="str">
        <f>IF(Table8[[#This Row],[RIDER]]="","",SUM(X15,AA15))</f>
        <v/>
      </c>
      <c r="J15" s="42" t="str">
        <f>IF(Table8[[#This Row],[RIDER]]="","",IF(COUNTIF(K15:T15, "E"), "E", (SUM(K15:T15)-U15)))</f>
        <v/>
      </c>
      <c r="K15" s="17">
        <v>0</v>
      </c>
      <c r="L15" s="17">
        <v>0</v>
      </c>
      <c r="M15" s="17">
        <v>0</v>
      </c>
      <c r="N15" s="17">
        <v>0</v>
      </c>
      <c r="O15" s="17">
        <v>0</v>
      </c>
      <c r="P15" s="17">
        <v>0</v>
      </c>
      <c r="Q15" s="17">
        <v>0</v>
      </c>
      <c r="R15" s="17">
        <v>0</v>
      </c>
      <c r="S15" s="17">
        <v>0</v>
      </c>
      <c r="T15" s="17">
        <v>0</v>
      </c>
      <c r="U15" s="17">
        <v>0</v>
      </c>
      <c r="V15" s="17"/>
      <c r="W15" s="17"/>
      <c r="X15" s="18" t="str">
        <f>IF(C15="","",IF(OR(Table8[[#This Row],[Outside/Broke (O/B)]]="O",Table8[[#This Row],[Outside/Broke (O/B)]]="B"),0,VLOOKUP((V15/MAlength*150),CanterScore,2,TRUE)))</f>
        <v/>
      </c>
      <c r="Y15" s="17"/>
      <c r="Z15" s="17"/>
      <c r="AA15" s="18" t="str">
        <f>IF(C15="","",IF(OR(Table8[[#This Row],[Outside/Broke (O/B)2]]="O",Table8[[#This Row],[Outside/Broke (O/B)2]]="B"),0,IF((Y15/MAlength*150)=0, 0,IF((Y15/MAlength*150)&lt;'MA calc'!$A$4, 15, VLOOKUP((Y15/MAlength*150),WalkScore,2,TRUE)))))</f>
        <v/>
      </c>
      <c r="AB15" s="17"/>
    </row>
    <row r="16" spans="1:28" s="35" customFormat="1" x14ac:dyDescent="0.3">
      <c r="A16" s="17"/>
      <c r="B16" s="17"/>
      <c r="C16" s="17"/>
      <c r="D16" s="17"/>
      <c r="E16" s="17"/>
      <c r="F16" s="17"/>
      <c r="G16" s="42" t="str">
        <f t="shared" si="0"/>
        <v/>
      </c>
      <c r="H16" s="52" t="str">
        <f>IF(Table8[[#This Row],[RIDER]]="","",IF((COUNTIF(J16, "E")), "E", (SUM(J16+I16))))</f>
        <v/>
      </c>
      <c r="I16" s="52" t="str">
        <f>IF(Table8[[#This Row],[RIDER]]="","",SUM(X16,AA16))</f>
        <v/>
      </c>
      <c r="J16" s="42" t="str">
        <f>IF(Table8[[#This Row],[RIDER]]="","",IF(COUNTIF(K16:T16, "E"), "E", (SUM(K16:T16)-U16)))</f>
        <v/>
      </c>
      <c r="K16" s="17">
        <v>0</v>
      </c>
      <c r="L16" s="17">
        <v>0</v>
      </c>
      <c r="M16" s="17">
        <v>0</v>
      </c>
      <c r="N16" s="17">
        <v>0</v>
      </c>
      <c r="O16" s="17">
        <v>0</v>
      </c>
      <c r="P16" s="17">
        <v>0</v>
      </c>
      <c r="Q16" s="17">
        <v>0</v>
      </c>
      <c r="R16" s="17">
        <v>0</v>
      </c>
      <c r="S16" s="17">
        <v>0</v>
      </c>
      <c r="T16" s="17">
        <v>0</v>
      </c>
      <c r="U16" s="17">
        <v>0</v>
      </c>
      <c r="V16" s="17"/>
      <c r="W16" s="17"/>
      <c r="X16" s="18" t="str">
        <f>IF(C16="","",IF(OR(Table8[[#This Row],[Outside/Broke (O/B)]]="O",Table8[[#This Row],[Outside/Broke (O/B)]]="B"),0,VLOOKUP((V16/MAlength*150),CanterScore,2,TRUE)))</f>
        <v/>
      </c>
      <c r="Y16" s="17"/>
      <c r="Z16" s="17"/>
      <c r="AA16" s="18" t="str">
        <f>IF(C16="","",IF(OR(Table8[[#This Row],[Outside/Broke (O/B)2]]="O",Table8[[#This Row],[Outside/Broke (O/B)2]]="B"),0,IF((Y16/MAlength*150)=0, 0,IF((Y16/MAlength*150)&lt;'MA calc'!$A$4, 15, VLOOKUP((Y16/MAlength*150),WalkScore,2,TRUE)))))</f>
        <v/>
      </c>
      <c r="AB16" s="17"/>
    </row>
    <row r="17" spans="1:28" s="35" customFormat="1" x14ac:dyDescent="0.3">
      <c r="A17" s="17"/>
      <c r="B17" s="17"/>
      <c r="C17" s="17"/>
      <c r="D17" s="17"/>
      <c r="E17" s="17"/>
      <c r="F17" s="17"/>
      <c r="G17" s="42" t="str">
        <f t="shared" si="0"/>
        <v/>
      </c>
      <c r="H17" s="52" t="str">
        <f>IF(Table8[[#This Row],[RIDER]]="","",IF((COUNTIF(J17, "E")), "E", (SUM(J17+I17))))</f>
        <v/>
      </c>
      <c r="I17" s="52" t="str">
        <f>IF(Table8[[#This Row],[RIDER]]="","",SUM(X17,AA17))</f>
        <v/>
      </c>
      <c r="J17" s="42" t="str">
        <f>IF(Table8[[#This Row],[RIDER]]="","",IF(COUNTIF(K17:T17, "E"), "E", (SUM(K17:T17)-U17)))</f>
        <v/>
      </c>
      <c r="K17" s="17">
        <v>0</v>
      </c>
      <c r="L17" s="17">
        <v>0</v>
      </c>
      <c r="M17" s="17">
        <v>0</v>
      </c>
      <c r="N17" s="17">
        <v>0</v>
      </c>
      <c r="O17" s="17">
        <v>0</v>
      </c>
      <c r="P17" s="17">
        <v>0</v>
      </c>
      <c r="Q17" s="17">
        <v>0</v>
      </c>
      <c r="R17" s="17">
        <v>0</v>
      </c>
      <c r="S17" s="17">
        <v>0</v>
      </c>
      <c r="T17" s="17">
        <v>0</v>
      </c>
      <c r="U17" s="17">
        <v>0</v>
      </c>
      <c r="V17" s="17"/>
      <c r="W17" s="17"/>
      <c r="X17" s="18" t="str">
        <f>IF(C17="","",IF(OR(Table8[[#This Row],[Outside/Broke (O/B)]]="O",Table8[[#This Row],[Outside/Broke (O/B)]]="B"),0,VLOOKUP((V17/MAlength*150),CanterScore,2,TRUE)))</f>
        <v/>
      </c>
      <c r="Y17" s="17"/>
      <c r="Z17" s="17"/>
      <c r="AA17" s="18" t="str">
        <f>IF(C17="","",IF(OR(Table8[[#This Row],[Outside/Broke (O/B)2]]="O",Table8[[#This Row],[Outside/Broke (O/B)2]]="B"),0,IF((Y17/MAlength*150)=0, 0,IF((Y17/MAlength*150)&lt;'MA calc'!$A$4, 15, VLOOKUP((Y17/MAlength*150),WalkScore,2,TRUE)))))</f>
        <v/>
      </c>
      <c r="AB17" s="17"/>
    </row>
    <row r="18" spans="1:28" s="35" customFormat="1" x14ac:dyDescent="0.3">
      <c r="A18" s="17"/>
      <c r="B18" s="17"/>
      <c r="C18" s="17"/>
      <c r="D18" s="17"/>
      <c r="E18" s="17"/>
      <c r="F18" s="17"/>
      <c r="G18" s="42" t="str">
        <f t="shared" si="0"/>
        <v/>
      </c>
      <c r="H18" s="52" t="str">
        <f>IF(Table8[[#This Row],[RIDER]]="","",IF((COUNTIF(J18, "E")), "E", (SUM(J18+I18))))</f>
        <v/>
      </c>
      <c r="I18" s="52" t="str">
        <f>IF(Table8[[#This Row],[RIDER]]="","",SUM(X18,AA18))</f>
        <v/>
      </c>
      <c r="J18" s="42" t="str">
        <f>IF(Table8[[#This Row],[RIDER]]="","",IF(COUNTIF(K18:T18, "E"), "E", (SUM(K18:T18)-U18)))</f>
        <v/>
      </c>
      <c r="K18" s="17">
        <v>0</v>
      </c>
      <c r="L18" s="17">
        <v>0</v>
      </c>
      <c r="M18" s="17">
        <v>0</v>
      </c>
      <c r="N18" s="17">
        <v>0</v>
      </c>
      <c r="O18" s="17">
        <v>0</v>
      </c>
      <c r="P18" s="17">
        <v>0</v>
      </c>
      <c r="Q18" s="17">
        <v>0</v>
      </c>
      <c r="R18" s="17">
        <v>0</v>
      </c>
      <c r="S18" s="17">
        <v>0</v>
      </c>
      <c r="T18" s="17">
        <v>0</v>
      </c>
      <c r="U18" s="17">
        <v>0</v>
      </c>
      <c r="V18" s="17"/>
      <c r="W18" s="17"/>
      <c r="X18" s="18" t="str">
        <f>IF(C18="","",IF(OR(Table8[[#This Row],[Outside/Broke (O/B)]]="O",Table8[[#This Row],[Outside/Broke (O/B)]]="B"),0,VLOOKUP((V18/MAlength*150),CanterScore,2,TRUE)))</f>
        <v/>
      </c>
      <c r="Y18" s="17"/>
      <c r="Z18" s="17"/>
      <c r="AA18" s="18" t="str">
        <f>IF(C18="","",IF(OR(Table8[[#This Row],[Outside/Broke (O/B)2]]="O",Table8[[#This Row],[Outside/Broke (O/B)2]]="B"),0,IF((Y18/MAlength*150)=0, 0,IF((Y18/MAlength*150)&lt;'MA calc'!$A$4, 15, VLOOKUP((Y18/MAlength*150),WalkScore,2,TRUE)))))</f>
        <v/>
      </c>
      <c r="AB18" s="17"/>
    </row>
    <row r="19" spans="1:28" s="35" customFormat="1" x14ac:dyDescent="0.3">
      <c r="A19" s="17"/>
      <c r="B19" s="17"/>
      <c r="C19" s="17"/>
      <c r="D19" s="17"/>
      <c r="E19" s="17"/>
      <c r="F19" s="17"/>
      <c r="G19" s="42" t="str">
        <f t="shared" si="0"/>
        <v/>
      </c>
      <c r="H19" s="52" t="str">
        <f>IF(Table8[[#This Row],[RIDER]]="","",IF((COUNTIF(J19, "E")), "E", (SUM(J19+I19))))</f>
        <v/>
      </c>
      <c r="I19" s="52" t="str">
        <f>IF(Table8[[#This Row],[RIDER]]="","",SUM(X19,AA19))</f>
        <v/>
      </c>
      <c r="J19" s="42" t="str">
        <f>IF(Table8[[#This Row],[RIDER]]="","",IF(COUNTIF(K19:T19, "E"), "E", (SUM(K19:T19)-U19)))</f>
        <v/>
      </c>
      <c r="K19" s="17">
        <v>0</v>
      </c>
      <c r="L19" s="17">
        <v>0</v>
      </c>
      <c r="M19" s="17">
        <v>0</v>
      </c>
      <c r="N19" s="17">
        <v>0</v>
      </c>
      <c r="O19" s="17">
        <v>0</v>
      </c>
      <c r="P19" s="17">
        <v>0</v>
      </c>
      <c r="Q19" s="17">
        <v>0</v>
      </c>
      <c r="R19" s="17">
        <v>0</v>
      </c>
      <c r="S19" s="17">
        <v>0</v>
      </c>
      <c r="T19" s="17">
        <v>0</v>
      </c>
      <c r="U19" s="17">
        <v>0</v>
      </c>
      <c r="V19" s="17"/>
      <c r="W19" s="17"/>
      <c r="X19" s="18" t="str">
        <f>IF(C19="","",IF(OR(Table8[[#This Row],[Outside/Broke (O/B)]]="O",Table8[[#This Row],[Outside/Broke (O/B)]]="B"),0,VLOOKUP((V19/MAlength*150),CanterScore,2,TRUE)))</f>
        <v/>
      </c>
      <c r="Y19" s="17"/>
      <c r="Z19" s="17"/>
      <c r="AA19" s="18" t="str">
        <f>IF(C19="","",IF(OR(Table8[[#This Row],[Outside/Broke (O/B)2]]="O",Table8[[#This Row],[Outside/Broke (O/B)2]]="B"),0,IF((Y19/MAlength*150)=0, 0,IF((Y19/MAlength*150)&lt;'MA calc'!$A$4, 15, VLOOKUP((Y19/MAlength*150),WalkScore,2,TRUE)))))</f>
        <v/>
      </c>
      <c r="AB19" s="17"/>
    </row>
    <row r="20" spans="1:28" s="35" customFormat="1" x14ac:dyDescent="0.3">
      <c r="A20" s="17"/>
      <c r="B20" s="17"/>
      <c r="C20" s="17"/>
      <c r="D20" s="17"/>
      <c r="E20" s="17"/>
      <c r="F20" s="17"/>
      <c r="G20" s="42" t="str">
        <f t="shared" si="0"/>
        <v/>
      </c>
      <c r="H20" s="52" t="str">
        <f>IF(Table8[[#This Row],[RIDER]]="","",IF((COUNTIF(J20, "E")), "E", (SUM(J20+I20))))</f>
        <v/>
      </c>
      <c r="I20" s="52" t="str">
        <f>IF(Table8[[#This Row],[RIDER]]="","",SUM(X20,AA20))</f>
        <v/>
      </c>
      <c r="J20" s="42" t="str">
        <f>IF(Table8[[#This Row],[RIDER]]="","",IF(COUNTIF(K20:T20, "E"), "E", (SUM(K20:T20)-U20)))</f>
        <v/>
      </c>
      <c r="K20" s="17">
        <v>0</v>
      </c>
      <c r="L20" s="17">
        <v>0</v>
      </c>
      <c r="M20" s="17">
        <v>0</v>
      </c>
      <c r="N20" s="17">
        <v>0</v>
      </c>
      <c r="O20" s="17">
        <v>0</v>
      </c>
      <c r="P20" s="17">
        <v>0</v>
      </c>
      <c r="Q20" s="17">
        <v>0</v>
      </c>
      <c r="R20" s="17">
        <v>0</v>
      </c>
      <c r="S20" s="17">
        <v>0</v>
      </c>
      <c r="T20" s="17">
        <v>0</v>
      </c>
      <c r="U20" s="17">
        <v>0</v>
      </c>
      <c r="V20" s="17"/>
      <c r="W20" s="17"/>
      <c r="X20" s="18" t="str">
        <f>IF(C20="","",IF(OR(Table8[[#This Row],[Outside/Broke (O/B)]]="O",Table8[[#This Row],[Outside/Broke (O/B)]]="B"),0,VLOOKUP((V20/MAlength*150),CanterScore,2,TRUE)))</f>
        <v/>
      </c>
      <c r="Y20" s="17"/>
      <c r="Z20" s="17"/>
      <c r="AA20" s="18" t="str">
        <f>IF(C20="","",IF(OR(Table8[[#This Row],[Outside/Broke (O/B)2]]="O",Table8[[#This Row],[Outside/Broke (O/B)2]]="B"),0,IF((Y20/MAlength*150)=0, 0,IF((Y20/MAlength*150)&lt;'MA calc'!$A$4, 15, VLOOKUP((Y20/MAlength*150),WalkScore,2,TRUE)))))</f>
        <v/>
      </c>
      <c r="AB20" s="17"/>
    </row>
    <row r="21" spans="1:28" s="35" customFormat="1" x14ac:dyDescent="0.3">
      <c r="A21" s="17"/>
      <c r="B21" s="17"/>
      <c r="C21" s="17"/>
      <c r="D21" s="17"/>
      <c r="E21" s="17"/>
      <c r="F21" s="17"/>
      <c r="G21" s="42" t="str">
        <f t="shared" si="0"/>
        <v/>
      </c>
      <c r="H21" s="52" t="str">
        <f>IF(Table8[[#This Row],[RIDER]]="","",IF((COUNTIF(J21, "E")), "E", (SUM(J21+I21))))</f>
        <v/>
      </c>
      <c r="I21" s="52" t="str">
        <f>IF(Table8[[#This Row],[RIDER]]="","",SUM(X21,AA21))</f>
        <v/>
      </c>
      <c r="J21" s="42" t="str">
        <f>IF(Table8[[#This Row],[RIDER]]="","",IF(COUNTIF(K21:T21, "E"), "E", (SUM(K21:T21)-U21)))</f>
        <v/>
      </c>
      <c r="K21" s="17">
        <v>0</v>
      </c>
      <c r="L21" s="17">
        <v>0</v>
      </c>
      <c r="M21" s="17">
        <v>0</v>
      </c>
      <c r="N21" s="17">
        <v>0</v>
      </c>
      <c r="O21" s="17">
        <v>0</v>
      </c>
      <c r="P21" s="17">
        <v>0</v>
      </c>
      <c r="Q21" s="17">
        <v>0</v>
      </c>
      <c r="R21" s="17">
        <v>0</v>
      </c>
      <c r="S21" s="17">
        <v>0</v>
      </c>
      <c r="T21" s="17">
        <v>0</v>
      </c>
      <c r="U21" s="17">
        <v>0</v>
      </c>
      <c r="V21" s="17"/>
      <c r="W21" s="17"/>
      <c r="X21" s="18" t="str">
        <f>IF(C21="","",IF(OR(Table8[[#This Row],[Outside/Broke (O/B)]]="O",Table8[[#This Row],[Outside/Broke (O/B)]]="B"),0,VLOOKUP((V21/MAlength*150),CanterScore,2,TRUE)))</f>
        <v/>
      </c>
      <c r="Y21" s="17"/>
      <c r="Z21" s="17"/>
      <c r="AA21" s="18" t="str">
        <f>IF(C21="","",IF(OR(Table8[[#This Row],[Outside/Broke (O/B)2]]="O",Table8[[#This Row],[Outside/Broke (O/B)2]]="B"),0,IF((Y21/MAlength*150)=0, 0,IF((Y21/MAlength*150)&lt;'MA calc'!$A$4, 15, VLOOKUP((Y21/MAlength*150),WalkScore,2,TRUE)))))</f>
        <v/>
      </c>
      <c r="AB21" s="17"/>
    </row>
    <row r="22" spans="1:28" s="35" customFormat="1" x14ac:dyDescent="0.3">
      <c r="A22" s="17"/>
      <c r="B22" s="17"/>
      <c r="C22" s="17"/>
      <c r="D22" s="17"/>
      <c r="E22" s="17"/>
      <c r="F22" s="17"/>
      <c r="G22" s="42" t="str">
        <f t="shared" si="0"/>
        <v/>
      </c>
      <c r="H22" s="52" t="str">
        <f>IF(Table8[[#This Row],[RIDER]]="","",IF((COUNTIF(J22, "E")), "E", (SUM(J22+I22))))</f>
        <v/>
      </c>
      <c r="I22" s="52" t="str">
        <f>IF(Table8[[#This Row],[RIDER]]="","",SUM(X22,AA22))</f>
        <v/>
      </c>
      <c r="J22" s="42" t="str">
        <f>IF(Table8[[#This Row],[RIDER]]="","",IF(COUNTIF(K22:T22, "E"), "E", (SUM(K22:T22)-U22)))</f>
        <v/>
      </c>
      <c r="K22" s="17">
        <v>0</v>
      </c>
      <c r="L22" s="17">
        <v>0</v>
      </c>
      <c r="M22" s="17">
        <v>0</v>
      </c>
      <c r="N22" s="17">
        <v>0</v>
      </c>
      <c r="O22" s="17">
        <v>0</v>
      </c>
      <c r="P22" s="17">
        <v>0</v>
      </c>
      <c r="Q22" s="17">
        <v>0</v>
      </c>
      <c r="R22" s="17">
        <v>0</v>
      </c>
      <c r="S22" s="17">
        <v>0</v>
      </c>
      <c r="T22" s="17">
        <v>0</v>
      </c>
      <c r="U22" s="17">
        <v>0</v>
      </c>
      <c r="V22" s="17"/>
      <c r="W22" s="17"/>
      <c r="X22" s="18" t="str">
        <f>IF(C22="","",IF(OR(Table8[[#This Row],[Outside/Broke (O/B)]]="O",Table8[[#This Row],[Outside/Broke (O/B)]]="B"),0,VLOOKUP((V22/MAlength*150),CanterScore,2,TRUE)))</f>
        <v/>
      </c>
      <c r="Y22" s="17"/>
      <c r="Z22" s="17"/>
      <c r="AA22" s="18" t="str">
        <f>IF(C22="","",IF(OR(Table8[[#This Row],[Outside/Broke (O/B)2]]="O",Table8[[#This Row],[Outside/Broke (O/B)2]]="B"),0,IF((Y22/MAlength*150)=0, 0,IF((Y22/MAlength*150)&lt;'MA calc'!$A$4, 15, VLOOKUP((Y22/MAlength*150),WalkScore,2,TRUE)))))</f>
        <v/>
      </c>
      <c r="AB22" s="17"/>
    </row>
    <row r="23" spans="1:28" s="35" customFormat="1" x14ac:dyDescent="0.3">
      <c r="A23" s="17"/>
      <c r="B23" s="17"/>
      <c r="C23" s="17"/>
      <c r="D23" s="17"/>
      <c r="E23" s="17"/>
      <c r="F23" s="17"/>
      <c r="G23" s="42" t="str">
        <f t="shared" si="0"/>
        <v/>
      </c>
      <c r="H23" s="52" t="str">
        <f>IF(Table8[[#This Row],[RIDER]]="","",IF((COUNTIF(J23, "E")), "E", (SUM(J23+I23))))</f>
        <v/>
      </c>
      <c r="I23" s="52" t="str">
        <f>IF(Table8[[#This Row],[RIDER]]="","",SUM(X23,AA23))</f>
        <v/>
      </c>
      <c r="J23" s="42" t="str">
        <f>IF(Table8[[#This Row],[RIDER]]="","",IF(COUNTIF(K23:T23, "E"), "E", (SUM(K23:T23)-U23)))</f>
        <v/>
      </c>
      <c r="K23" s="17">
        <v>0</v>
      </c>
      <c r="L23" s="17">
        <v>0</v>
      </c>
      <c r="M23" s="17">
        <v>0</v>
      </c>
      <c r="N23" s="17">
        <v>0</v>
      </c>
      <c r="O23" s="17">
        <v>0</v>
      </c>
      <c r="P23" s="17">
        <v>0</v>
      </c>
      <c r="Q23" s="17">
        <v>0</v>
      </c>
      <c r="R23" s="17">
        <v>0</v>
      </c>
      <c r="S23" s="17">
        <v>0</v>
      </c>
      <c r="T23" s="17">
        <v>0</v>
      </c>
      <c r="U23" s="17">
        <v>0</v>
      </c>
      <c r="V23" s="17"/>
      <c r="W23" s="17"/>
      <c r="X23" s="18" t="str">
        <f>IF(C23="","",IF(OR(Table8[[#This Row],[Outside/Broke (O/B)]]="O",Table8[[#This Row],[Outside/Broke (O/B)]]="B"),0,VLOOKUP((V23/MAlength*150),CanterScore,2,TRUE)))</f>
        <v/>
      </c>
      <c r="Y23" s="17"/>
      <c r="Z23" s="17"/>
      <c r="AA23" s="18" t="str">
        <f>IF(C23="","",IF(OR(Table8[[#This Row],[Outside/Broke (O/B)2]]="O",Table8[[#This Row],[Outside/Broke (O/B)2]]="B"),0,IF((Y23/MAlength*150)=0, 0,IF((Y23/MAlength*150)&lt;'MA calc'!$A$4, 15, VLOOKUP((Y23/MAlength*150),WalkScore,2,TRUE)))))</f>
        <v/>
      </c>
      <c r="AB23" s="17"/>
    </row>
    <row r="24" spans="1:28" s="35" customFormat="1" x14ac:dyDescent="0.3">
      <c r="A24" s="17"/>
      <c r="B24" s="17"/>
      <c r="C24" s="17"/>
      <c r="D24" s="17"/>
      <c r="E24" s="17"/>
      <c r="F24" s="17"/>
      <c r="G24" s="42" t="str">
        <f t="shared" si="0"/>
        <v/>
      </c>
      <c r="H24" s="52" t="str">
        <f>IF(Table8[[#This Row],[RIDER]]="","",IF((COUNTIF(J24, "E")), "E", (SUM(J24+I24))))</f>
        <v/>
      </c>
      <c r="I24" s="52" t="str">
        <f>IF(Table8[[#This Row],[RIDER]]="","",SUM(X24,AA24))</f>
        <v/>
      </c>
      <c r="J24" s="42" t="str">
        <f>IF(Table8[[#This Row],[RIDER]]="","",IF(COUNTIF(K24:T24, "E"), "E", (SUM(K24:T24)-U24)))</f>
        <v/>
      </c>
      <c r="K24" s="17">
        <v>0</v>
      </c>
      <c r="L24" s="17">
        <v>0</v>
      </c>
      <c r="M24" s="17">
        <v>0</v>
      </c>
      <c r="N24" s="17">
        <v>0</v>
      </c>
      <c r="O24" s="17">
        <v>0</v>
      </c>
      <c r="P24" s="17">
        <v>0</v>
      </c>
      <c r="Q24" s="17">
        <v>0</v>
      </c>
      <c r="R24" s="17">
        <v>0</v>
      </c>
      <c r="S24" s="17">
        <v>0</v>
      </c>
      <c r="T24" s="17">
        <v>0</v>
      </c>
      <c r="U24" s="17">
        <v>0</v>
      </c>
      <c r="V24" s="17"/>
      <c r="W24" s="17"/>
      <c r="X24" s="18" t="str">
        <f>IF(C24="","",IF(OR(Table8[[#This Row],[Outside/Broke (O/B)]]="O",Table8[[#This Row],[Outside/Broke (O/B)]]="B"),0,VLOOKUP((V24/MAlength*150),CanterScore,2,TRUE)))</f>
        <v/>
      </c>
      <c r="Y24" s="17"/>
      <c r="Z24" s="17"/>
      <c r="AA24" s="18" t="str">
        <f>IF(C24="","",IF(OR(Table8[[#This Row],[Outside/Broke (O/B)2]]="O",Table8[[#This Row],[Outside/Broke (O/B)2]]="B"),0,IF((Y24/MAlength*150)=0, 0,IF((Y24/MAlength*150)&lt;'MA calc'!$A$4, 15, VLOOKUP((Y24/MAlength*150),WalkScore,2,TRUE)))))</f>
        <v/>
      </c>
      <c r="AB24" s="17"/>
    </row>
    <row r="25" spans="1:28" s="35" customFormat="1" x14ac:dyDescent="0.3">
      <c r="A25" s="17"/>
      <c r="B25" s="17"/>
      <c r="C25" s="17"/>
      <c r="D25" s="17"/>
      <c r="E25" s="17"/>
      <c r="F25" s="17"/>
      <c r="G25" s="42" t="str">
        <f t="shared" si="0"/>
        <v/>
      </c>
      <c r="H25" s="52" t="str">
        <f>IF(Table8[[#This Row],[RIDER]]="","",IF((COUNTIF(J25, "E")), "E", (SUM(J25+I25))))</f>
        <v/>
      </c>
      <c r="I25" s="52" t="str">
        <f>IF(Table8[[#This Row],[RIDER]]="","",SUM(X25,AA25))</f>
        <v/>
      </c>
      <c r="J25" s="42" t="str">
        <f>IF(Table8[[#This Row],[RIDER]]="","",IF(COUNTIF(K25:T25, "E"), "E", (SUM(K25:T25)-U25)))</f>
        <v/>
      </c>
      <c r="K25" s="17">
        <v>0</v>
      </c>
      <c r="L25" s="17">
        <v>0</v>
      </c>
      <c r="M25" s="17">
        <v>0</v>
      </c>
      <c r="N25" s="17">
        <v>0</v>
      </c>
      <c r="O25" s="17">
        <v>0</v>
      </c>
      <c r="P25" s="17">
        <v>0</v>
      </c>
      <c r="Q25" s="17">
        <v>0</v>
      </c>
      <c r="R25" s="17">
        <v>0</v>
      </c>
      <c r="S25" s="17">
        <v>0</v>
      </c>
      <c r="T25" s="17">
        <v>0</v>
      </c>
      <c r="U25" s="17">
        <v>0</v>
      </c>
      <c r="V25" s="17"/>
      <c r="W25" s="17"/>
      <c r="X25" s="18" t="str">
        <f>IF(C25="","",IF(OR(Table8[[#This Row],[Outside/Broke (O/B)]]="O",Table8[[#This Row],[Outside/Broke (O/B)]]="B"),0,VLOOKUP((V25/MAlength*150),CanterScore,2,TRUE)))</f>
        <v/>
      </c>
      <c r="Y25" s="17"/>
      <c r="Z25" s="17"/>
      <c r="AA25" s="18" t="str">
        <f>IF(C25="","",IF(OR(Table8[[#This Row],[Outside/Broke (O/B)2]]="O",Table8[[#This Row],[Outside/Broke (O/B)2]]="B"),0,IF((Y25/MAlength*150)=0, 0,IF((Y25/MAlength*150)&lt;'MA calc'!$A$4, 15, VLOOKUP((Y25/MAlength*150),WalkScore,2,TRUE)))))</f>
        <v/>
      </c>
      <c r="AB25" s="17"/>
    </row>
    <row r="26" spans="1:28" s="35" customFormat="1" x14ac:dyDescent="0.3">
      <c r="A26" s="17"/>
      <c r="B26" s="17"/>
      <c r="C26" s="17"/>
      <c r="D26" s="17"/>
      <c r="E26" s="17"/>
      <c r="F26" s="17"/>
      <c r="G26" s="42" t="str">
        <f t="shared" si="0"/>
        <v/>
      </c>
      <c r="H26" s="52" t="str">
        <f>IF(Table8[[#This Row],[RIDER]]="","",IF((COUNTIF(J26, "E")), "E", (SUM(J26+I26))))</f>
        <v/>
      </c>
      <c r="I26" s="52" t="str">
        <f>IF(Table8[[#This Row],[RIDER]]="","",SUM(X26,AA26))</f>
        <v/>
      </c>
      <c r="J26" s="42" t="str">
        <f>IF(Table8[[#This Row],[RIDER]]="","",IF(COUNTIF(K26:T26, "E"), "E", (SUM(K26:T26)-U26)))</f>
        <v/>
      </c>
      <c r="K26" s="17">
        <v>0</v>
      </c>
      <c r="L26" s="17">
        <v>0</v>
      </c>
      <c r="M26" s="17">
        <v>0</v>
      </c>
      <c r="N26" s="17">
        <v>0</v>
      </c>
      <c r="O26" s="17">
        <v>0</v>
      </c>
      <c r="P26" s="17">
        <v>0</v>
      </c>
      <c r="Q26" s="17">
        <v>0</v>
      </c>
      <c r="R26" s="17">
        <v>0</v>
      </c>
      <c r="S26" s="17">
        <v>0</v>
      </c>
      <c r="T26" s="17">
        <v>0</v>
      </c>
      <c r="U26" s="17">
        <v>0</v>
      </c>
      <c r="V26" s="17"/>
      <c r="W26" s="17"/>
      <c r="X26" s="18" t="str">
        <f>IF(C26="","",IF(OR(Table8[[#This Row],[Outside/Broke (O/B)]]="O",Table8[[#This Row],[Outside/Broke (O/B)]]="B"),0,VLOOKUP((V26/MAlength*150),CanterScore,2,TRUE)))</f>
        <v/>
      </c>
      <c r="Y26" s="17"/>
      <c r="Z26" s="17"/>
      <c r="AA26" s="18" t="str">
        <f>IF(C26="","",IF(OR(Table8[[#This Row],[Outside/Broke (O/B)2]]="O",Table8[[#This Row],[Outside/Broke (O/B)2]]="B"),0,IF((Y26/MAlength*150)=0, 0,IF((Y26/MAlength*150)&lt;'MA calc'!$A$4, 15, VLOOKUP((Y26/MAlength*150),WalkScore,2,TRUE)))))</f>
        <v/>
      </c>
      <c r="AB26" s="17"/>
    </row>
    <row r="27" spans="1:28" s="35" customFormat="1" x14ac:dyDescent="0.3">
      <c r="A27" s="17"/>
      <c r="B27" s="17"/>
      <c r="C27" s="17"/>
      <c r="D27" s="17"/>
      <c r="E27" s="17"/>
      <c r="F27" s="17"/>
      <c r="G27" s="42" t="str">
        <f t="shared" si="0"/>
        <v/>
      </c>
      <c r="H27" s="52" t="str">
        <f>IF(Table8[[#This Row],[RIDER]]="","",IF((COUNTIF(J27, "E")), "E", (SUM(J27+I27))))</f>
        <v/>
      </c>
      <c r="I27" s="52" t="str">
        <f>IF(Table8[[#This Row],[RIDER]]="","",SUM(X27,AA27))</f>
        <v/>
      </c>
      <c r="J27" s="42" t="str">
        <f>IF(Table8[[#This Row],[RIDER]]="","",IF(COUNTIF(K27:T27, "E"), "E", (SUM(K27:T27)-U27)))</f>
        <v/>
      </c>
      <c r="K27" s="17">
        <v>0</v>
      </c>
      <c r="L27" s="17">
        <v>0</v>
      </c>
      <c r="M27" s="17">
        <v>0</v>
      </c>
      <c r="N27" s="17">
        <v>0</v>
      </c>
      <c r="O27" s="17">
        <v>0</v>
      </c>
      <c r="P27" s="17">
        <v>0</v>
      </c>
      <c r="Q27" s="17">
        <v>0</v>
      </c>
      <c r="R27" s="17">
        <v>0</v>
      </c>
      <c r="S27" s="17">
        <v>0</v>
      </c>
      <c r="T27" s="17">
        <v>0</v>
      </c>
      <c r="U27" s="17">
        <v>0</v>
      </c>
      <c r="V27" s="17"/>
      <c r="W27" s="17"/>
      <c r="X27" s="18" t="str">
        <f>IF(C27="","",IF(OR(Table8[[#This Row],[Outside/Broke (O/B)]]="O",Table8[[#This Row],[Outside/Broke (O/B)]]="B"),0,VLOOKUP((V27/MAlength*150),CanterScore,2,TRUE)))</f>
        <v/>
      </c>
      <c r="Y27" s="17"/>
      <c r="Z27" s="17"/>
      <c r="AA27" s="18" t="str">
        <f>IF(C27="","",IF(OR(Table8[[#This Row],[Outside/Broke (O/B)2]]="O",Table8[[#This Row],[Outside/Broke (O/B)2]]="B"),0,IF((Y27/MAlength*150)=0, 0,IF((Y27/MAlength*150)&lt;'MA calc'!$A$4, 15, VLOOKUP((Y27/MAlength*150),WalkScore,2,TRUE)))))</f>
        <v/>
      </c>
      <c r="AB27" s="17"/>
    </row>
    <row r="28" spans="1:28" s="35" customFormat="1" x14ac:dyDescent="0.3">
      <c r="A28" s="17"/>
      <c r="B28" s="17"/>
      <c r="C28" s="17"/>
      <c r="D28" s="17"/>
      <c r="E28" s="17"/>
      <c r="F28" s="17"/>
      <c r="G28" s="42" t="str">
        <f t="shared" si="0"/>
        <v/>
      </c>
      <c r="H28" s="52" t="str">
        <f>IF(Table8[[#This Row],[RIDER]]="","",IF((COUNTIF(J28, "E")), "E", (SUM(J28+I28))))</f>
        <v/>
      </c>
      <c r="I28" s="52" t="str">
        <f>IF(Table8[[#This Row],[RIDER]]="","",SUM(X28,AA28))</f>
        <v/>
      </c>
      <c r="J28" s="42" t="str">
        <f>IF(Table8[[#This Row],[RIDER]]="","",IF(COUNTIF(K28:T28, "E"), "E", (SUM(K28:T28)-U28)))</f>
        <v/>
      </c>
      <c r="K28" s="17">
        <v>0</v>
      </c>
      <c r="L28" s="17">
        <v>0</v>
      </c>
      <c r="M28" s="17">
        <v>0</v>
      </c>
      <c r="N28" s="17">
        <v>0</v>
      </c>
      <c r="O28" s="17">
        <v>0</v>
      </c>
      <c r="P28" s="17">
        <v>0</v>
      </c>
      <c r="Q28" s="17">
        <v>0</v>
      </c>
      <c r="R28" s="17">
        <v>0</v>
      </c>
      <c r="S28" s="17">
        <v>0</v>
      </c>
      <c r="T28" s="17">
        <v>0</v>
      </c>
      <c r="U28" s="17">
        <v>0</v>
      </c>
      <c r="V28" s="17"/>
      <c r="W28" s="17"/>
      <c r="X28" s="18" t="str">
        <f>IF(C28="","",IF(OR(Table8[[#This Row],[Outside/Broke (O/B)]]="O",Table8[[#This Row],[Outside/Broke (O/B)]]="B"),0,VLOOKUP((V28/MAlength*150),CanterScore,2,TRUE)))</f>
        <v/>
      </c>
      <c r="Y28" s="17"/>
      <c r="Z28" s="17"/>
      <c r="AA28" s="18" t="str">
        <f>IF(C28="","",IF(OR(Table8[[#This Row],[Outside/Broke (O/B)2]]="O",Table8[[#This Row],[Outside/Broke (O/B)2]]="B"),0,IF((Y28/MAlength*150)=0, 0,IF((Y28/MAlength*150)&lt;'MA calc'!$A$4, 15, VLOOKUP((Y28/MAlength*150),WalkScore,2,TRUE)))))</f>
        <v/>
      </c>
      <c r="AB28" s="17"/>
    </row>
    <row r="29" spans="1:28" s="35" customFormat="1" x14ac:dyDescent="0.3">
      <c r="A29" s="17"/>
      <c r="B29" s="17"/>
      <c r="C29" s="17"/>
      <c r="D29" s="17"/>
      <c r="E29" s="17"/>
      <c r="F29" s="17"/>
      <c r="G29" s="42" t="str">
        <f t="shared" si="0"/>
        <v/>
      </c>
      <c r="H29" s="52" t="str">
        <f>IF(Table8[[#This Row],[RIDER]]="","",IF((COUNTIF(J29, "E")), "E", (SUM(J29+I29))))</f>
        <v/>
      </c>
      <c r="I29" s="52" t="str">
        <f>IF(Table8[[#This Row],[RIDER]]="","",SUM(X29,AA29))</f>
        <v/>
      </c>
      <c r="J29" s="42" t="str">
        <f>IF(Table8[[#This Row],[RIDER]]="","",IF(COUNTIF(K29:T29, "E"), "E", (SUM(K29:T29)-U29)))</f>
        <v/>
      </c>
      <c r="K29" s="17">
        <v>0</v>
      </c>
      <c r="L29" s="17">
        <v>0</v>
      </c>
      <c r="M29" s="17">
        <v>0</v>
      </c>
      <c r="N29" s="17">
        <v>0</v>
      </c>
      <c r="O29" s="17">
        <v>0</v>
      </c>
      <c r="P29" s="17">
        <v>0</v>
      </c>
      <c r="Q29" s="17">
        <v>0</v>
      </c>
      <c r="R29" s="17">
        <v>0</v>
      </c>
      <c r="S29" s="17">
        <v>0</v>
      </c>
      <c r="T29" s="17">
        <v>0</v>
      </c>
      <c r="U29" s="17">
        <v>0</v>
      </c>
      <c r="V29" s="17"/>
      <c r="W29" s="17"/>
      <c r="X29" s="18" t="str">
        <f>IF(C29="","",IF(OR(Table8[[#This Row],[Outside/Broke (O/B)]]="O",Table8[[#This Row],[Outside/Broke (O/B)]]="B"),0,VLOOKUP((V29/MAlength*150),CanterScore,2,TRUE)))</f>
        <v/>
      </c>
      <c r="Y29" s="17"/>
      <c r="Z29" s="17"/>
      <c r="AA29" s="18" t="str">
        <f>IF(C29="","",IF(OR(Table8[[#This Row],[Outside/Broke (O/B)2]]="O",Table8[[#This Row],[Outside/Broke (O/B)2]]="B"),0,IF((Y29/MAlength*150)=0, 0,IF((Y29/MAlength*150)&lt;'MA calc'!$A$4, 15, VLOOKUP((Y29/MAlength*150),WalkScore,2,TRUE)))))</f>
        <v/>
      </c>
      <c r="AB29" s="17"/>
    </row>
    <row r="30" spans="1:28" s="35" customFormat="1" x14ac:dyDescent="0.3">
      <c r="A30" s="17"/>
      <c r="B30" s="17"/>
      <c r="C30" s="17"/>
      <c r="D30" s="17"/>
      <c r="E30" s="17"/>
      <c r="F30" s="17"/>
      <c r="G30" s="42" t="str">
        <f t="shared" si="0"/>
        <v/>
      </c>
      <c r="H30" s="52" t="str">
        <f>IF(Table8[[#This Row],[RIDER]]="","",IF((COUNTIF(J30, "E")), "E", (SUM(J30+I30))))</f>
        <v/>
      </c>
      <c r="I30" s="52" t="str">
        <f>IF(Table8[[#This Row],[RIDER]]="","",SUM(X30,AA30))</f>
        <v/>
      </c>
      <c r="J30" s="42" t="str">
        <f>IF(Table8[[#This Row],[RIDER]]="","",IF(COUNTIF(K30:T30, "E"), "E", (SUM(K30:T30)-U30)))</f>
        <v/>
      </c>
      <c r="K30" s="17">
        <v>0</v>
      </c>
      <c r="L30" s="17">
        <v>0</v>
      </c>
      <c r="M30" s="17">
        <v>0</v>
      </c>
      <c r="N30" s="17">
        <v>0</v>
      </c>
      <c r="O30" s="17">
        <v>0</v>
      </c>
      <c r="P30" s="17">
        <v>0</v>
      </c>
      <c r="Q30" s="17">
        <v>0</v>
      </c>
      <c r="R30" s="17">
        <v>0</v>
      </c>
      <c r="S30" s="17">
        <v>0</v>
      </c>
      <c r="T30" s="17">
        <v>0</v>
      </c>
      <c r="U30" s="17">
        <v>0</v>
      </c>
      <c r="V30" s="17"/>
      <c r="W30" s="17"/>
      <c r="X30" s="18" t="str">
        <f>IF(C30="","",IF(OR(Table8[[#This Row],[Outside/Broke (O/B)]]="O",Table8[[#This Row],[Outside/Broke (O/B)]]="B"),0,VLOOKUP((V30/MAlength*150),CanterScore,2,TRUE)))</f>
        <v/>
      </c>
      <c r="Y30" s="17"/>
      <c r="Z30" s="17"/>
      <c r="AA30" s="18" t="str">
        <f>IF(C30="","",IF(OR(Table8[[#This Row],[Outside/Broke (O/B)2]]="O",Table8[[#This Row],[Outside/Broke (O/B)2]]="B"),0,IF((Y30/MAlength*150)=0, 0,IF((Y30/MAlength*150)&lt;'MA calc'!$A$4, 15, VLOOKUP((Y30/MAlength*150),WalkScore,2,TRUE)))))</f>
        <v/>
      </c>
      <c r="AB30" s="17"/>
    </row>
    <row r="31" spans="1:28" s="35" customFormat="1" x14ac:dyDescent="0.3">
      <c r="A31" s="17"/>
      <c r="B31" s="17"/>
      <c r="C31" s="17"/>
      <c r="D31" s="17"/>
      <c r="E31" s="17"/>
      <c r="F31" s="17"/>
      <c r="G31" s="42" t="str">
        <f t="shared" si="0"/>
        <v/>
      </c>
      <c r="H31" s="52" t="str">
        <f>IF(Table8[[#This Row],[RIDER]]="","",IF((COUNTIF(J31, "E")), "E", (SUM(J31+I31))))</f>
        <v/>
      </c>
      <c r="I31" s="52" t="str">
        <f>IF(Table8[[#This Row],[RIDER]]="","",SUM(X31,AA31))</f>
        <v/>
      </c>
      <c r="J31" s="42" t="str">
        <f>IF(Table8[[#This Row],[RIDER]]="","",IF(COUNTIF(K31:T31, "E"), "E", (SUM(K31:T31)-U31)))</f>
        <v/>
      </c>
      <c r="K31" s="17">
        <v>0</v>
      </c>
      <c r="L31" s="17">
        <v>0</v>
      </c>
      <c r="M31" s="17">
        <v>0</v>
      </c>
      <c r="N31" s="17">
        <v>0</v>
      </c>
      <c r="O31" s="17">
        <v>0</v>
      </c>
      <c r="P31" s="17">
        <v>0</v>
      </c>
      <c r="Q31" s="17">
        <v>0</v>
      </c>
      <c r="R31" s="17">
        <v>0</v>
      </c>
      <c r="S31" s="17">
        <v>0</v>
      </c>
      <c r="T31" s="17">
        <v>0</v>
      </c>
      <c r="U31" s="17">
        <v>0</v>
      </c>
      <c r="V31" s="17"/>
      <c r="W31" s="17"/>
      <c r="X31" s="18" t="str">
        <f>IF(C31="","",IF(OR(Table8[[#This Row],[Outside/Broke (O/B)]]="O",Table8[[#This Row],[Outside/Broke (O/B)]]="B"),0,VLOOKUP((V31/MAlength*150),CanterScore,2,TRUE)))</f>
        <v/>
      </c>
      <c r="Y31" s="17"/>
      <c r="Z31" s="17"/>
      <c r="AA31" s="18" t="str">
        <f>IF(C31="","",IF(OR(Table8[[#This Row],[Outside/Broke (O/B)2]]="O",Table8[[#This Row],[Outside/Broke (O/B)2]]="B"),0,IF((Y31/MAlength*150)=0, 0,IF((Y31/MAlength*150)&lt;'MA calc'!$A$4, 15, VLOOKUP((Y31/MAlength*150),WalkScore,2,TRUE)))))</f>
        <v/>
      </c>
      <c r="AB31" s="17"/>
    </row>
    <row r="32" spans="1:28" s="35" customFormat="1" x14ac:dyDescent="0.3">
      <c r="A32" s="17"/>
      <c r="B32" s="17"/>
      <c r="C32" s="17"/>
      <c r="D32" s="17"/>
      <c r="E32" s="17"/>
      <c r="F32" s="17"/>
      <c r="G32" s="42" t="str">
        <f t="shared" si="0"/>
        <v/>
      </c>
      <c r="H32" s="52" t="str">
        <f>IF(Table8[[#This Row],[RIDER]]="","",IF((COUNTIF(J32, "E")), "E", (SUM(J32+I32))))</f>
        <v/>
      </c>
      <c r="I32" s="52" t="str">
        <f>IF(Table8[[#This Row],[RIDER]]="","",SUM(X32,AA32))</f>
        <v/>
      </c>
      <c r="J32" s="42" t="str">
        <f>IF(Table8[[#This Row],[RIDER]]="","",IF(COUNTIF(K32:T32, "E"), "E", (SUM(K32:T32)-U32)))</f>
        <v/>
      </c>
      <c r="K32" s="17">
        <v>0</v>
      </c>
      <c r="L32" s="17">
        <v>0</v>
      </c>
      <c r="M32" s="17">
        <v>0</v>
      </c>
      <c r="N32" s="17">
        <v>0</v>
      </c>
      <c r="O32" s="17">
        <v>0</v>
      </c>
      <c r="P32" s="17">
        <v>0</v>
      </c>
      <c r="Q32" s="17">
        <v>0</v>
      </c>
      <c r="R32" s="17">
        <v>0</v>
      </c>
      <c r="S32" s="17">
        <v>0</v>
      </c>
      <c r="T32" s="17">
        <v>0</v>
      </c>
      <c r="U32" s="17">
        <v>0</v>
      </c>
      <c r="V32" s="17"/>
      <c r="W32" s="17"/>
      <c r="X32" s="18" t="str">
        <f>IF(C32="","",IF(OR(Table8[[#This Row],[Outside/Broke (O/B)]]="O",Table8[[#This Row],[Outside/Broke (O/B)]]="B"),0,VLOOKUP((V32/MAlength*150),CanterScore,2,TRUE)))</f>
        <v/>
      </c>
      <c r="Y32" s="17"/>
      <c r="Z32" s="17"/>
      <c r="AA32" s="18" t="str">
        <f>IF(C32="","",IF(OR(Table8[[#This Row],[Outside/Broke (O/B)2]]="O",Table8[[#This Row],[Outside/Broke (O/B)2]]="B"),0,IF((Y32/MAlength*150)=0, 0,IF((Y32/MAlength*150)&lt;'MA calc'!$A$4, 15, VLOOKUP((Y32/MAlength*150),WalkScore,2,TRUE)))))</f>
        <v/>
      </c>
      <c r="AB32" s="17"/>
    </row>
    <row r="33" spans="1:28" s="35" customFormat="1" x14ac:dyDescent="0.3">
      <c r="A33" s="17"/>
      <c r="B33" s="17"/>
      <c r="C33" s="17"/>
      <c r="D33" s="17"/>
      <c r="E33" s="17"/>
      <c r="F33" s="17"/>
      <c r="G33" s="42" t="str">
        <f t="shared" si="0"/>
        <v/>
      </c>
      <c r="H33" s="52" t="str">
        <f>IF(Table8[[#This Row],[RIDER]]="","",IF((COUNTIF(J33, "E")), "E", (SUM(J33+I33))))</f>
        <v/>
      </c>
      <c r="I33" s="52" t="str">
        <f>IF(Table8[[#This Row],[RIDER]]="","",SUM(X33,AA33))</f>
        <v/>
      </c>
      <c r="J33" s="42" t="str">
        <f>IF(Table8[[#This Row],[RIDER]]="","",IF(COUNTIF(K33:T33, "E"), "E", (SUM(K33:T33)-U33)))</f>
        <v/>
      </c>
      <c r="K33" s="17">
        <v>0</v>
      </c>
      <c r="L33" s="17">
        <v>0</v>
      </c>
      <c r="M33" s="17">
        <v>0</v>
      </c>
      <c r="N33" s="17">
        <v>0</v>
      </c>
      <c r="O33" s="17">
        <v>0</v>
      </c>
      <c r="P33" s="17">
        <v>0</v>
      </c>
      <c r="Q33" s="17">
        <v>0</v>
      </c>
      <c r="R33" s="17">
        <v>0</v>
      </c>
      <c r="S33" s="17">
        <v>0</v>
      </c>
      <c r="T33" s="17">
        <v>0</v>
      </c>
      <c r="U33" s="17">
        <v>0</v>
      </c>
      <c r="V33" s="17"/>
      <c r="W33" s="17"/>
      <c r="X33" s="18" t="str">
        <f>IF(C33="","",IF(OR(Table8[[#This Row],[Outside/Broke (O/B)]]="O",Table8[[#This Row],[Outside/Broke (O/B)]]="B"),0,VLOOKUP((V33/MAlength*150),CanterScore,2,TRUE)))</f>
        <v/>
      </c>
      <c r="Y33" s="17"/>
      <c r="Z33" s="17"/>
      <c r="AA33" s="18" t="str">
        <f>IF(C33="","",IF(OR(Table8[[#This Row],[Outside/Broke (O/B)2]]="O",Table8[[#This Row],[Outside/Broke (O/B)2]]="B"),0,IF((Y33/MAlength*150)=0, 0,IF((Y33/MAlength*150)&lt;'MA calc'!$A$4, 15, VLOOKUP((Y33/MAlength*150),WalkScore,2,TRUE)))))</f>
        <v/>
      </c>
      <c r="AB33" s="17"/>
    </row>
    <row r="34" spans="1:28" s="35" customFormat="1" x14ac:dyDescent="0.3">
      <c r="A34" s="17"/>
      <c r="B34" s="17"/>
      <c r="C34" s="17"/>
      <c r="D34" s="17"/>
      <c r="E34" s="17"/>
      <c r="F34" s="17"/>
      <c r="G34" s="42" t="str">
        <f t="shared" si="0"/>
        <v/>
      </c>
      <c r="H34" s="52" t="str">
        <f>IF(Table8[[#This Row],[RIDER]]="","",IF((COUNTIF(J34, "E")), "E", (SUM(J34+I34))))</f>
        <v/>
      </c>
      <c r="I34" s="52" t="str">
        <f>IF(Table8[[#This Row],[RIDER]]="","",SUM(X34,AA34))</f>
        <v/>
      </c>
      <c r="J34" s="42" t="str">
        <f>IF(Table8[[#This Row],[RIDER]]="","",IF(COUNTIF(K34:T34, "E"), "E", (SUM(K34:T34)-U34)))</f>
        <v/>
      </c>
      <c r="K34" s="17">
        <v>0</v>
      </c>
      <c r="L34" s="17">
        <v>0</v>
      </c>
      <c r="M34" s="17">
        <v>0</v>
      </c>
      <c r="N34" s="17">
        <v>0</v>
      </c>
      <c r="O34" s="17">
        <v>0</v>
      </c>
      <c r="P34" s="17">
        <v>0</v>
      </c>
      <c r="Q34" s="17">
        <v>0</v>
      </c>
      <c r="R34" s="17">
        <v>0</v>
      </c>
      <c r="S34" s="17">
        <v>0</v>
      </c>
      <c r="T34" s="17">
        <v>0</v>
      </c>
      <c r="U34" s="17">
        <v>0</v>
      </c>
      <c r="V34" s="17"/>
      <c r="W34" s="17"/>
      <c r="X34" s="18" t="str">
        <f>IF(C34="","",IF(OR(Table8[[#This Row],[Outside/Broke (O/B)]]="O",Table8[[#This Row],[Outside/Broke (O/B)]]="B"),0,VLOOKUP((V34/MAlength*150),CanterScore,2,TRUE)))</f>
        <v/>
      </c>
      <c r="Y34" s="17"/>
      <c r="Z34" s="17"/>
      <c r="AA34" s="18" t="str">
        <f>IF(C34="","",IF(OR(Table8[[#This Row],[Outside/Broke (O/B)2]]="O",Table8[[#This Row],[Outside/Broke (O/B)2]]="B"),0,IF((Y34/MAlength*150)=0, 0,IF((Y34/MAlength*150)&lt;'MA calc'!$A$4, 15, VLOOKUP((Y34/MAlength*150),WalkScore,2,TRUE)))))</f>
        <v/>
      </c>
      <c r="AB34" s="17"/>
    </row>
    <row r="35" spans="1:28" s="35" customFormat="1" x14ac:dyDescent="0.3">
      <c r="A35" s="17"/>
      <c r="B35" s="17"/>
      <c r="C35" s="17"/>
      <c r="D35" s="17"/>
      <c r="E35" s="17"/>
      <c r="F35" s="17"/>
      <c r="G35" s="42" t="str">
        <f t="shared" si="0"/>
        <v/>
      </c>
      <c r="H35" s="52" t="str">
        <f>IF(Table8[[#This Row],[RIDER]]="","",IF((COUNTIF(J35, "E")), "E", (SUM(J35+I35))))</f>
        <v/>
      </c>
      <c r="I35" s="52" t="str">
        <f>IF(Table8[[#This Row],[RIDER]]="","",SUM(X35,AA35))</f>
        <v/>
      </c>
      <c r="J35" s="42" t="str">
        <f>IF(Table8[[#This Row],[RIDER]]="","",IF(COUNTIF(K35:T35, "E"), "E", (SUM(K35:T35)-U35)))</f>
        <v/>
      </c>
      <c r="K35" s="17">
        <v>0</v>
      </c>
      <c r="L35" s="17">
        <v>0</v>
      </c>
      <c r="M35" s="17">
        <v>0</v>
      </c>
      <c r="N35" s="17">
        <v>0</v>
      </c>
      <c r="O35" s="17">
        <v>0</v>
      </c>
      <c r="P35" s="17">
        <v>0</v>
      </c>
      <c r="Q35" s="17">
        <v>0</v>
      </c>
      <c r="R35" s="17">
        <v>0</v>
      </c>
      <c r="S35" s="17">
        <v>0</v>
      </c>
      <c r="T35" s="17">
        <v>0</v>
      </c>
      <c r="U35" s="17">
        <v>0</v>
      </c>
      <c r="V35" s="17"/>
      <c r="W35" s="17"/>
      <c r="X35" s="18" t="str">
        <f>IF(C35="","",IF(OR(Table8[[#This Row],[Outside/Broke (O/B)]]="O",Table8[[#This Row],[Outside/Broke (O/B)]]="B"),0,VLOOKUP((V35/MAlength*150),CanterScore,2,TRUE)))</f>
        <v/>
      </c>
      <c r="Y35" s="17"/>
      <c r="Z35" s="17"/>
      <c r="AA35" s="18" t="str">
        <f>IF(C35="","",IF(OR(Table8[[#This Row],[Outside/Broke (O/B)2]]="O",Table8[[#This Row],[Outside/Broke (O/B)2]]="B"),0,IF((Y35/MAlength*150)=0, 0,IF((Y35/MAlength*150)&lt;'MA calc'!$A$4, 15, VLOOKUP((Y35/MAlength*150),WalkScore,2,TRUE)))))</f>
        <v/>
      </c>
      <c r="AB35" s="17"/>
    </row>
  </sheetData>
  <mergeCells count="5">
    <mergeCell ref="D6:E6"/>
    <mergeCell ref="H6:I6"/>
    <mergeCell ref="K6:L6"/>
    <mergeCell ref="M6:T6"/>
    <mergeCell ref="D7:E7"/>
  </mergeCells>
  <phoneticPr fontId="26" type="noConversion"/>
  <conditionalFormatting sqref="K11:U35">
    <cfRule type="cellIs" dxfId="2" priority="1" operator="greaterThan">
      <formula>10</formula>
    </cfRule>
  </conditionalFormatting>
  <dataValidations count="3">
    <dataValidation type="list" allowBlank="1" showDropDown="1" showErrorMessage="1" errorTitle="Invalid entry" error="Please enter Y or N only" sqref="E11:E35" xr:uid="{CC7B1B52-F39B-49F0-8FFE-D20A03944D2E}">
      <formula1>"N,Y"</formula1>
    </dataValidation>
    <dataValidation type="list" allowBlank="1" showDropDown="1" showErrorMessage="1" errorTitle="Invalid entry" error="Please enter O or B only" sqref="W11:W35 Z11:Z35" xr:uid="{19646E85-57ED-4ADB-8407-8757BC80963F}">
      <formula1>"B,O"</formula1>
    </dataValidation>
    <dataValidation type="list" operator="lessThanOrEqual" allowBlank="1" showDropDown="1" showInputMessage="1" showErrorMessage="1" errorTitle="Invalid entry" error="The maximum score for each obstacle is 10. _x000a_Please enter a number between -5 and 20, or an E." sqref="K11:U35" xr:uid="{2D7A7782-AAB5-4718-B519-B5C1F2B604A6}">
      <formula1>"0,1,2,3,4,5,6,7,8,9,10,11,12,13,14,15,16,17,18,19,20,E,-1,-2,-3,-4,-5"</formula1>
    </dataValidation>
  </dataValidations>
  <printOptions horizontalCentered="1" verticalCentered="1"/>
  <pageMargins left="0.23622047244094491" right="0.23622047244094491" top="0.74803149606299213" bottom="0.74803149606299213" header="0.31496062992125984" footer="0.31496062992125984"/>
  <pageSetup paperSize="9" scale="53" orientation="landscape" r:id="rId1"/>
  <drawing r:id="rId2"/>
  <tableParts count="1">
    <tablePart r:id="rId3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BD30CD-A50C-4145-B1B4-BACE8582BF41}">
  <sheetPr>
    <pageSetUpPr fitToPage="1"/>
  </sheetPr>
  <dimension ref="A1:AB35"/>
  <sheetViews>
    <sheetView topLeftCell="A10" zoomScale="75" zoomScaleNormal="75" workbookViewId="0">
      <selection activeCell="K11" sqref="K11:U35"/>
    </sheetView>
  </sheetViews>
  <sheetFormatPr defaultColWidth="8.69921875" defaultRowHeight="14.4" x14ac:dyDescent="0.3"/>
  <cols>
    <col min="1" max="1" width="17.19921875" style="14" bestFit="1" customWidth="1"/>
    <col min="2" max="2" width="14.3984375" style="14" bestFit="1" customWidth="1"/>
    <col min="3" max="3" width="15.69921875" style="14" bestFit="1" customWidth="1"/>
    <col min="4" max="4" width="19.19921875" style="14" bestFit="1" customWidth="1"/>
    <col min="5" max="5" width="12.8984375" style="14" customWidth="1"/>
    <col min="6" max="6" width="21.19921875" style="14" customWidth="1"/>
    <col min="7" max="7" width="17.19921875" style="14" bestFit="1" customWidth="1"/>
    <col min="8" max="8" width="11.3984375" style="1" customWidth="1"/>
    <col min="9" max="9" width="10.5" style="1" customWidth="1"/>
    <col min="10" max="10" width="12.5" style="14" bestFit="1" customWidth="1"/>
    <col min="11" max="11" width="8.69921875" style="14" customWidth="1"/>
    <col min="12" max="12" width="8.5" style="14" customWidth="1"/>
    <col min="13" max="15" width="6.69921875" style="14" customWidth="1"/>
    <col min="16" max="16" width="7.19921875" style="14" customWidth="1"/>
    <col min="17" max="21" width="6.69921875" style="14" customWidth="1"/>
    <col min="22" max="23" width="9" style="14" customWidth="1"/>
    <col min="24" max="24" width="6.69921875" style="1" customWidth="1"/>
    <col min="25" max="25" width="9" style="14" customWidth="1"/>
    <col min="26" max="27" width="6.69921875" style="1" customWidth="1"/>
    <col min="28" max="28" width="4.5" style="14" hidden="1" customWidth="1"/>
    <col min="29" max="29" width="23.09765625" style="14" customWidth="1"/>
    <col min="30" max="30" width="3.3984375" style="14" customWidth="1"/>
    <col min="31" max="31" width="2.59765625" style="14" customWidth="1"/>
    <col min="32" max="32" width="2.5" style="14" customWidth="1"/>
    <col min="33" max="33" width="8.69921875" style="14"/>
    <col min="34" max="34" width="8.69921875" style="14" customWidth="1"/>
    <col min="35" max="16384" width="8.69921875" style="14"/>
  </cols>
  <sheetData>
    <row r="1" spans="1:28" ht="3" customHeight="1" x14ac:dyDescent="0.3"/>
    <row r="2" spans="1:28" ht="23.4" customHeight="1" x14ac:dyDescent="0.45">
      <c r="A2" s="23"/>
      <c r="B2" s="23"/>
      <c r="F2" s="7" t="s">
        <v>14</v>
      </c>
      <c r="T2" s="1"/>
      <c r="U2" s="1"/>
    </row>
    <row r="3" spans="1:28" ht="14.55" customHeight="1" x14ac:dyDescent="0.3">
      <c r="A3" s="23"/>
      <c r="B3" s="23"/>
      <c r="I3" s="2"/>
      <c r="W3" s="1"/>
      <c r="Y3" s="1"/>
    </row>
    <row r="4" spans="1:28" ht="15.6" x14ac:dyDescent="0.3">
      <c r="A4" s="23"/>
      <c r="B4" s="23"/>
      <c r="F4" s="3"/>
      <c r="I4" s="2"/>
      <c r="M4" s="3"/>
      <c r="Y4" s="1"/>
    </row>
    <row r="5" spans="1:28" ht="14.55" customHeight="1" x14ac:dyDescent="0.3">
      <c r="A5" s="23"/>
      <c r="B5" s="23"/>
      <c r="L5" s="32"/>
      <c r="M5" s="33"/>
      <c r="N5" s="33"/>
      <c r="Y5" s="1"/>
    </row>
    <row r="6" spans="1:28" s="4" customFormat="1" ht="21" x14ac:dyDescent="0.4">
      <c r="A6" s="23"/>
      <c r="B6" s="23"/>
      <c r="C6" s="15" t="s">
        <v>8</v>
      </c>
      <c r="D6" s="63" t="str">
        <f>'Print All Summary'!B6</f>
        <v>Avon Riding Centre</v>
      </c>
      <c r="E6" s="63"/>
      <c r="F6" s="14"/>
      <c r="G6" s="22" t="s">
        <v>9</v>
      </c>
      <c r="H6" s="65">
        <f>'Print All Summary'!F6</f>
        <v>46068</v>
      </c>
      <c r="I6" s="65"/>
      <c r="K6" s="66" t="s">
        <v>15</v>
      </c>
      <c r="L6" s="66"/>
      <c r="M6" s="63" t="str">
        <f>'Print All Summary'!B7</f>
        <v>Wessex TREC</v>
      </c>
      <c r="N6" s="63"/>
      <c r="O6" s="63"/>
      <c r="P6" s="63"/>
      <c r="Q6" s="63"/>
      <c r="R6" s="63"/>
      <c r="S6" s="63"/>
      <c r="T6" s="63"/>
      <c r="U6" s="14"/>
      <c r="X6" s="1"/>
      <c r="Y6" s="1"/>
      <c r="Z6" s="1"/>
      <c r="AA6" s="1"/>
    </row>
    <row r="7" spans="1:28" s="4" customFormat="1" ht="30" customHeight="1" x14ac:dyDescent="0.4">
      <c r="A7" s="23"/>
      <c r="B7" s="23"/>
      <c r="C7" s="15" t="s">
        <v>16</v>
      </c>
      <c r="D7" s="64" t="s">
        <v>50</v>
      </c>
      <c r="E7" s="64"/>
      <c r="F7" s="14"/>
      <c r="H7" s="5"/>
      <c r="I7" s="5"/>
      <c r="U7" s="14"/>
      <c r="X7" s="1"/>
      <c r="Y7" s="1"/>
      <c r="Z7" s="1"/>
      <c r="AA7" s="1"/>
    </row>
    <row r="8" spans="1:28" s="4" customFormat="1" ht="21" x14ac:dyDescent="0.4">
      <c r="A8" s="23"/>
      <c r="B8" s="23"/>
      <c r="C8" s="15"/>
      <c r="D8" s="15"/>
      <c r="E8" s="15"/>
      <c r="H8" s="5"/>
      <c r="I8" s="5"/>
      <c r="X8" s="5"/>
      <c r="Z8" s="5"/>
      <c r="AA8" s="5"/>
    </row>
    <row r="9" spans="1:28" ht="15.6" x14ac:dyDescent="0.3">
      <c r="F9" s="16"/>
      <c r="K9" s="16"/>
      <c r="L9" s="16"/>
      <c r="M9" s="16"/>
      <c r="N9" s="16"/>
      <c r="O9" s="16"/>
      <c r="P9" s="16"/>
      <c r="Q9" s="16"/>
    </row>
    <row r="10" spans="1:28" s="34" customFormat="1" ht="122.55" customHeight="1" x14ac:dyDescent="0.25">
      <c r="A10" s="28" t="s">
        <v>18</v>
      </c>
      <c r="B10" s="29" t="s">
        <v>19</v>
      </c>
      <c r="C10" s="19" t="s">
        <v>20</v>
      </c>
      <c r="D10" s="20" t="s">
        <v>21</v>
      </c>
      <c r="E10" s="20" t="s">
        <v>22</v>
      </c>
      <c r="F10" s="20" t="s">
        <v>23</v>
      </c>
      <c r="G10" s="21" t="s">
        <v>24</v>
      </c>
      <c r="H10" s="21" t="s">
        <v>25</v>
      </c>
      <c r="I10" s="21" t="s">
        <v>26</v>
      </c>
      <c r="J10" s="27" t="s">
        <v>45</v>
      </c>
      <c r="K10" s="26" t="s">
        <v>28</v>
      </c>
      <c r="L10" s="26" t="s">
        <v>29</v>
      </c>
      <c r="M10" s="26" t="s">
        <v>30</v>
      </c>
      <c r="N10" s="26" t="s">
        <v>31</v>
      </c>
      <c r="O10" s="26" t="s">
        <v>32</v>
      </c>
      <c r="P10" s="26" t="s">
        <v>33</v>
      </c>
      <c r="Q10" s="26" t="s">
        <v>34</v>
      </c>
      <c r="R10" s="26" t="s">
        <v>35</v>
      </c>
      <c r="S10" s="26" t="s">
        <v>36</v>
      </c>
      <c r="T10" s="26" t="s">
        <v>37</v>
      </c>
      <c r="U10" s="30" t="s">
        <v>56</v>
      </c>
      <c r="V10" s="24" t="s">
        <v>38</v>
      </c>
      <c r="W10" s="24" t="s">
        <v>39</v>
      </c>
      <c r="X10" s="25" t="s">
        <v>40</v>
      </c>
      <c r="Y10" s="24" t="s">
        <v>41</v>
      </c>
      <c r="Z10" s="24" t="s">
        <v>42</v>
      </c>
      <c r="AA10" s="25" t="s">
        <v>43</v>
      </c>
      <c r="AB10" s="39" t="s">
        <v>13</v>
      </c>
    </row>
    <row r="11" spans="1:28" s="35" customFormat="1" x14ac:dyDescent="0.3">
      <c r="A11" s="17"/>
      <c r="B11" s="17"/>
      <c r="C11" s="17"/>
      <c r="D11" s="17"/>
      <c r="E11" s="17"/>
      <c r="F11" s="17"/>
      <c r="G11" s="42" t="str">
        <f>IF(H11="E","E",(IF(C11="","",_xlfn.RANK.EQ($H11,$H$11:$H$35)+COUNTIFS($H$11:$H$35,$H11,$J$11:$J$35,"&gt;"&amp;$J11))))</f>
        <v/>
      </c>
      <c r="H11" s="52" t="str">
        <f>IF(Table9[[#This Row],[RIDER]]="","",IF((COUNTIF(J11, "E")), "E", (SUM(J11+I11))))</f>
        <v/>
      </c>
      <c r="I11" s="52" t="str">
        <f>IF(Table9[[#This Row],[RIDER]]="","",SUM(X11,AA11))</f>
        <v/>
      </c>
      <c r="J11" s="42" t="str">
        <f>IF(Table9[[#This Row],[RIDER]]="","",IF(COUNTIF(K11:T11, "E"), "E", (SUM(K11:T11)-U11)))</f>
        <v/>
      </c>
      <c r="K11" s="17">
        <v>0</v>
      </c>
      <c r="L11" s="17">
        <v>0</v>
      </c>
      <c r="M11" s="17">
        <v>0</v>
      </c>
      <c r="N11" s="17">
        <v>0</v>
      </c>
      <c r="O11" s="17">
        <v>0</v>
      </c>
      <c r="P11" s="17">
        <v>0</v>
      </c>
      <c r="Q11" s="17">
        <v>0</v>
      </c>
      <c r="R11" s="17">
        <v>0</v>
      </c>
      <c r="S11" s="17">
        <v>0</v>
      </c>
      <c r="T11" s="17">
        <v>0</v>
      </c>
      <c r="U11" s="17">
        <v>0</v>
      </c>
      <c r="V11" s="17"/>
      <c r="W11" s="17"/>
      <c r="X11" s="18" t="str">
        <f>IF(C11="","",IF(OR(Table9[[#This Row],[Outside/Broke (O/B)]]="O",Table9[[#This Row],[Outside/Broke (O/B)]]="B"),0,VLOOKUP((V11/MAlength*150),CanterScore,2,TRUE)))</f>
        <v/>
      </c>
      <c r="Y11" s="17"/>
      <c r="Z11" s="17"/>
      <c r="AA11" s="18" t="str">
        <f>IF(C11="","",IF(OR(Table9[[#This Row],[Outside/Broke (O/B)2]]="O",Table9[[#This Row],[Outside/Broke (O/B)2]]="B"),0,IF((Y11/MAlength*150)=0, 0,IF((Y11/MAlength*150)&lt;'MA calc'!$A$4, 15, VLOOKUP((Y11/MAlength*150),WalkScore,2,TRUE)))))</f>
        <v/>
      </c>
      <c r="AB11" s="17"/>
    </row>
    <row r="12" spans="1:28" s="35" customFormat="1" x14ac:dyDescent="0.3">
      <c r="A12" s="17"/>
      <c r="B12" s="17"/>
      <c r="C12" s="17"/>
      <c r="D12" s="17"/>
      <c r="E12" s="17"/>
      <c r="F12" s="17"/>
      <c r="G12" s="42" t="str">
        <f t="shared" ref="G12:G35" si="0">IF(H12="E","E",(IF(C12="","",_xlfn.RANK.EQ($H12,$H$11:$H$35)+COUNTIFS($H$11:$H$35,$H12,$J$11:$J$35,"&gt;"&amp;$J12))))</f>
        <v/>
      </c>
      <c r="H12" s="52" t="str">
        <f>IF(Table9[[#This Row],[RIDER]]="","",IF((COUNTIF(J12, "E")), "E", (SUM(J12+I12))))</f>
        <v/>
      </c>
      <c r="I12" s="52" t="str">
        <f>IF(Table9[[#This Row],[RIDER]]="","",SUM(X12,AA12))</f>
        <v/>
      </c>
      <c r="J12" s="42" t="str">
        <f>IF(Table9[[#This Row],[RIDER]]="","",IF(COUNTIF(K12:T12, "E"), "E", (SUM(K12:T12)-U12)))</f>
        <v/>
      </c>
      <c r="K12" s="17">
        <v>0</v>
      </c>
      <c r="L12" s="17">
        <v>0</v>
      </c>
      <c r="M12" s="17">
        <v>0</v>
      </c>
      <c r="N12" s="17">
        <v>0</v>
      </c>
      <c r="O12" s="17">
        <v>0</v>
      </c>
      <c r="P12" s="17">
        <v>0</v>
      </c>
      <c r="Q12" s="17">
        <v>0</v>
      </c>
      <c r="R12" s="17">
        <v>0</v>
      </c>
      <c r="S12" s="17">
        <v>0</v>
      </c>
      <c r="T12" s="17">
        <v>0</v>
      </c>
      <c r="U12" s="17">
        <v>0</v>
      </c>
      <c r="V12" s="17"/>
      <c r="W12" s="17"/>
      <c r="X12" s="18" t="str">
        <f>IF(C12="","",IF(OR(Table9[[#This Row],[Outside/Broke (O/B)]]="O",Table9[[#This Row],[Outside/Broke (O/B)]]="B"),0,VLOOKUP((V12/MAlength*150),CanterScore,2,TRUE)))</f>
        <v/>
      </c>
      <c r="Y12" s="17"/>
      <c r="Z12" s="17"/>
      <c r="AA12" s="18" t="str">
        <f>IF(C12="","",IF(OR(Table9[[#This Row],[Outside/Broke (O/B)2]]="O",Table9[[#This Row],[Outside/Broke (O/B)2]]="B"),0,IF((Y12/MAlength*150)=0, 0,IF((Y12/MAlength*150)&lt;'MA calc'!$A$4, 15, VLOOKUP((Y12/MAlength*150),WalkScore,2,TRUE)))))</f>
        <v/>
      </c>
      <c r="AB12" s="17"/>
    </row>
    <row r="13" spans="1:28" s="35" customFormat="1" x14ac:dyDescent="0.3">
      <c r="A13" s="17"/>
      <c r="B13" s="17"/>
      <c r="C13" s="17"/>
      <c r="D13" s="17"/>
      <c r="E13" s="17"/>
      <c r="F13" s="17"/>
      <c r="G13" s="42" t="str">
        <f t="shared" si="0"/>
        <v/>
      </c>
      <c r="H13" s="52" t="str">
        <f>IF(Table9[[#This Row],[RIDER]]="","",IF((COUNTIF(J13, "E")), "E", (SUM(J13+I13))))</f>
        <v/>
      </c>
      <c r="I13" s="52" t="str">
        <f>IF(Table9[[#This Row],[RIDER]]="","",SUM(X13,AA13))</f>
        <v/>
      </c>
      <c r="J13" s="42" t="str">
        <f>IF(Table9[[#This Row],[RIDER]]="","",IF(COUNTIF(K13:T13, "E"), "E", (SUM(K13:T13)-U13)))</f>
        <v/>
      </c>
      <c r="K13" s="17">
        <v>0</v>
      </c>
      <c r="L13" s="17">
        <v>0</v>
      </c>
      <c r="M13" s="17">
        <v>0</v>
      </c>
      <c r="N13" s="17">
        <v>0</v>
      </c>
      <c r="O13" s="17">
        <v>0</v>
      </c>
      <c r="P13" s="17">
        <v>0</v>
      </c>
      <c r="Q13" s="17">
        <v>0</v>
      </c>
      <c r="R13" s="17">
        <v>0</v>
      </c>
      <c r="S13" s="17">
        <v>0</v>
      </c>
      <c r="T13" s="17">
        <v>0</v>
      </c>
      <c r="U13" s="17">
        <v>0</v>
      </c>
      <c r="V13" s="17"/>
      <c r="W13" s="17"/>
      <c r="X13" s="18" t="str">
        <f>IF(C13="","",IF(OR(Table9[[#This Row],[Outside/Broke (O/B)]]="O",Table9[[#This Row],[Outside/Broke (O/B)]]="B"),0,VLOOKUP((V13/MAlength*150),CanterScore,2,TRUE)))</f>
        <v/>
      </c>
      <c r="Y13" s="17"/>
      <c r="Z13" s="17"/>
      <c r="AA13" s="18" t="str">
        <f>IF(C13="","",IF(OR(Table9[[#This Row],[Outside/Broke (O/B)2]]="O",Table9[[#This Row],[Outside/Broke (O/B)2]]="B"),0,IF((Y13/MAlength*150)=0, 0,IF((Y13/MAlength*150)&lt;'MA calc'!$A$4, 15, VLOOKUP((Y13/MAlength*150),WalkScore,2,TRUE)))))</f>
        <v/>
      </c>
      <c r="AB13" s="17"/>
    </row>
    <row r="14" spans="1:28" s="35" customFormat="1" x14ac:dyDescent="0.3">
      <c r="A14" s="17"/>
      <c r="B14" s="17"/>
      <c r="C14" s="17"/>
      <c r="D14" s="17"/>
      <c r="E14" s="17"/>
      <c r="F14" s="17"/>
      <c r="G14" s="42" t="str">
        <f t="shared" si="0"/>
        <v/>
      </c>
      <c r="H14" s="52" t="str">
        <f>IF(Table9[[#This Row],[RIDER]]="","",IF((COUNTIF(J14, "E")), "E", (SUM(J14+I14))))</f>
        <v/>
      </c>
      <c r="I14" s="52" t="str">
        <f>IF(Table9[[#This Row],[RIDER]]="","",SUM(X14,AA14))</f>
        <v/>
      </c>
      <c r="J14" s="42" t="str">
        <f>IF(Table9[[#This Row],[RIDER]]="","",IF(COUNTIF(K14:T14, "E"), "E", (SUM(K14:T14)-U14)))</f>
        <v/>
      </c>
      <c r="K14" s="17">
        <v>0</v>
      </c>
      <c r="L14" s="17">
        <v>0</v>
      </c>
      <c r="M14" s="17">
        <v>0</v>
      </c>
      <c r="N14" s="17">
        <v>0</v>
      </c>
      <c r="O14" s="17">
        <v>0</v>
      </c>
      <c r="P14" s="17">
        <v>0</v>
      </c>
      <c r="Q14" s="17">
        <v>0</v>
      </c>
      <c r="R14" s="17">
        <v>0</v>
      </c>
      <c r="S14" s="17">
        <v>0</v>
      </c>
      <c r="T14" s="17">
        <v>0</v>
      </c>
      <c r="U14" s="17">
        <v>0</v>
      </c>
      <c r="V14" s="17"/>
      <c r="W14" s="17"/>
      <c r="X14" s="18" t="str">
        <f>IF(C14="","",IF(OR(Table9[[#This Row],[Outside/Broke (O/B)]]="O",Table9[[#This Row],[Outside/Broke (O/B)]]="B"),0,VLOOKUP((V14/MAlength*150),CanterScore,2,TRUE)))</f>
        <v/>
      </c>
      <c r="Y14" s="17"/>
      <c r="Z14" s="17"/>
      <c r="AA14" s="18" t="str">
        <f>IF(C14="","",IF(OR(Table9[[#This Row],[Outside/Broke (O/B)2]]="O",Table9[[#This Row],[Outside/Broke (O/B)2]]="B"),0,IF((Y14/MAlength*150)=0, 0,IF((Y14/MAlength*150)&lt;'MA calc'!$A$4, 15, VLOOKUP((Y14/MAlength*150),WalkScore,2,TRUE)))))</f>
        <v/>
      </c>
      <c r="AB14" s="17"/>
    </row>
    <row r="15" spans="1:28" s="35" customFormat="1" x14ac:dyDescent="0.3">
      <c r="A15" s="17"/>
      <c r="B15" s="17"/>
      <c r="C15" s="17"/>
      <c r="D15" s="17"/>
      <c r="E15" s="17"/>
      <c r="F15" s="17"/>
      <c r="G15" s="42" t="str">
        <f t="shared" si="0"/>
        <v/>
      </c>
      <c r="H15" s="52" t="str">
        <f>IF(Table9[[#This Row],[RIDER]]="","",IF((COUNTIF(J15, "E")), "E", (SUM(J15+I15))))</f>
        <v/>
      </c>
      <c r="I15" s="52" t="str">
        <f>IF(Table9[[#This Row],[RIDER]]="","",SUM(X15,AA15))</f>
        <v/>
      </c>
      <c r="J15" s="42" t="str">
        <f>IF(Table9[[#This Row],[RIDER]]="","",IF(COUNTIF(K15:T15, "E"), "E", (SUM(K15:T15)-U15)))</f>
        <v/>
      </c>
      <c r="K15" s="17">
        <v>0</v>
      </c>
      <c r="L15" s="17">
        <v>0</v>
      </c>
      <c r="M15" s="17">
        <v>0</v>
      </c>
      <c r="N15" s="17">
        <v>0</v>
      </c>
      <c r="O15" s="17">
        <v>0</v>
      </c>
      <c r="P15" s="17">
        <v>0</v>
      </c>
      <c r="Q15" s="17">
        <v>0</v>
      </c>
      <c r="R15" s="17">
        <v>0</v>
      </c>
      <c r="S15" s="17">
        <v>0</v>
      </c>
      <c r="T15" s="17">
        <v>0</v>
      </c>
      <c r="U15" s="17">
        <v>0</v>
      </c>
      <c r="V15" s="17"/>
      <c r="W15" s="17"/>
      <c r="X15" s="18" t="str">
        <f>IF(C15="","",IF(OR(Table9[[#This Row],[Outside/Broke (O/B)]]="O",Table9[[#This Row],[Outside/Broke (O/B)]]="B"),0,VLOOKUP((V15/MAlength*150),CanterScore,2,TRUE)))</f>
        <v/>
      </c>
      <c r="Y15" s="17"/>
      <c r="Z15" s="17"/>
      <c r="AA15" s="18" t="str">
        <f>IF(C15="","",IF(OR(Table9[[#This Row],[Outside/Broke (O/B)2]]="O",Table9[[#This Row],[Outside/Broke (O/B)2]]="B"),0,IF((Y15/MAlength*150)=0, 0,IF((Y15/MAlength*150)&lt;'MA calc'!$A$4, 15, VLOOKUP((Y15/MAlength*150),WalkScore,2,TRUE)))))</f>
        <v/>
      </c>
      <c r="AB15" s="17"/>
    </row>
    <row r="16" spans="1:28" s="35" customFormat="1" x14ac:dyDescent="0.3">
      <c r="A16" s="17"/>
      <c r="B16" s="17"/>
      <c r="C16" s="17"/>
      <c r="D16" s="17"/>
      <c r="E16" s="17"/>
      <c r="F16" s="17"/>
      <c r="G16" s="42" t="str">
        <f t="shared" si="0"/>
        <v/>
      </c>
      <c r="H16" s="52" t="str">
        <f>IF(Table9[[#This Row],[RIDER]]="","",IF((COUNTIF(J16, "E")), "E", (SUM(J16+I16))))</f>
        <v/>
      </c>
      <c r="I16" s="52" t="str">
        <f>IF(Table9[[#This Row],[RIDER]]="","",SUM(X16,AA16))</f>
        <v/>
      </c>
      <c r="J16" s="42" t="str">
        <f>IF(Table9[[#This Row],[RIDER]]="","",IF(COUNTIF(K16:T16, "E"), "E", (SUM(K16:T16)-U16)))</f>
        <v/>
      </c>
      <c r="K16" s="17">
        <v>0</v>
      </c>
      <c r="L16" s="17">
        <v>0</v>
      </c>
      <c r="M16" s="17">
        <v>0</v>
      </c>
      <c r="N16" s="17">
        <v>0</v>
      </c>
      <c r="O16" s="17">
        <v>0</v>
      </c>
      <c r="P16" s="17">
        <v>0</v>
      </c>
      <c r="Q16" s="17">
        <v>0</v>
      </c>
      <c r="R16" s="17">
        <v>0</v>
      </c>
      <c r="S16" s="17">
        <v>0</v>
      </c>
      <c r="T16" s="17">
        <v>0</v>
      </c>
      <c r="U16" s="17">
        <v>0</v>
      </c>
      <c r="V16" s="17"/>
      <c r="W16" s="17"/>
      <c r="X16" s="18" t="str">
        <f>IF(C16="","",IF(OR(Table9[[#This Row],[Outside/Broke (O/B)]]="O",Table9[[#This Row],[Outside/Broke (O/B)]]="B"),0,VLOOKUP((V16/MAlength*150),CanterScore,2,TRUE)))</f>
        <v/>
      </c>
      <c r="Y16" s="17"/>
      <c r="Z16" s="17"/>
      <c r="AA16" s="18" t="str">
        <f>IF(C16="","",IF(OR(Table9[[#This Row],[Outside/Broke (O/B)2]]="O",Table9[[#This Row],[Outside/Broke (O/B)2]]="B"),0,IF((Y16/MAlength*150)=0, 0,IF((Y16/MAlength*150)&lt;'MA calc'!$A$4, 15, VLOOKUP((Y16/MAlength*150),WalkScore,2,TRUE)))))</f>
        <v/>
      </c>
      <c r="AB16" s="17"/>
    </row>
    <row r="17" spans="1:28" s="35" customFormat="1" x14ac:dyDescent="0.3">
      <c r="A17" s="17"/>
      <c r="B17" s="17"/>
      <c r="C17" s="17"/>
      <c r="D17" s="17"/>
      <c r="E17" s="17"/>
      <c r="F17" s="17"/>
      <c r="G17" s="42" t="str">
        <f t="shared" si="0"/>
        <v/>
      </c>
      <c r="H17" s="52" t="str">
        <f>IF(Table9[[#This Row],[RIDER]]="","",IF((COUNTIF(J17, "E")), "E", (SUM(J17+I17))))</f>
        <v/>
      </c>
      <c r="I17" s="52" t="str">
        <f>IF(Table9[[#This Row],[RIDER]]="","",SUM(X17,AA17))</f>
        <v/>
      </c>
      <c r="J17" s="42" t="str">
        <f>IF(Table9[[#This Row],[RIDER]]="","",IF(COUNTIF(K17:T17, "E"), "E", (SUM(K17:T17)-U17)))</f>
        <v/>
      </c>
      <c r="K17" s="17">
        <v>0</v>
      </c>
      <c r="L17" s="17">
        <v>0</v>
      </c>
      <c r="M17" s="17">
        <v>0</v>
      </c>
      <c r="N17" s="17">
        <v>0</v>
      </c>
      <c r="O17" s="17">
        <v>0</v>
      </c>
      <c r="P17" s="17">
        <v>0</v>
      </c>
      <c r="Q17" s="17">
        <v>0</v>
      </c>
      <c r="R17" s="17">
        <v>0</v>
      </c>
      <c r="S17" s="17">
        <v>0</v>
      </c>
      <c r="T17" s="17">
        <v>0</v>
      </c>
      <c r="U17" s="17">
        <v>0</v>
      </c>
      <c r="V17" s="17"/>
      <c r="W17" s="17"/>
      <c r="X17" s="18" t="str">
        <f>IF(C17="","",IF(OR(Table9[[#This Row],[Outside/Broke (O/B)]]="O",Table9[[#This Row],[Outside/Broke (O/B)]]="B"),0,VLOOKUP((V17/MAlength*150),CanterScore,2,TRUE)))</f>
        <v/>
      </c>
      <c r="Y17" s="17"/>
      <c r="Z17" s="17"/>
      <c r="AA17" s="18" t="str">
        <f>IF(C17="","",IF(OR(Table9[[#This Row],[Outside/Broke (O/B)2]]="O",Table9[[#This Row],[Outside/Broke (O/B)2]]="B"),0,IF((Y17/MAlength*150)=0, 0,IF((Y17/MAlength*150)&lt;'MA calc'!$A$4, 15, VLOOKUP((Y17/MAlength*150),WalkScore,2,TRUE)))))</f>
        <v/>
      </c>
      <c r="AB17" s="17"/>
    </row>
    <row r="18" spans="1:28" s="35" customFormat="1" x14ac:dyDescent="0.3">
      <c r="A18" s="17"/>
      <c r="B18" s="17"/>
      <c r="C18" s="17"/>
      <c r="D18" s="17"/>
      <c r="E18" s="17"/>
      <c r="F18" s="17"/>
      <c r="G18" s="42" t="str">
        <f t="shared" si="0"/>
        <v/>
      </c>
      <c r="H18" s="52" t="str">
        <f>IF(Table9[[#This Row],[RIDER]]="","",IF((COUNTIF(J18, "E")), "E", (SUM(J18+I18))))</f>
        <v/>
      </c>
      <c r="I18" s="52" t="str">
        <f>IF(Table9[[#This Row],[RIDER]]="","",SUM(X18,AA18))</f>
        <v/>
      </c>
      <c r="J18" s="42" t="str">
        <f>IF(Table9[[#This Row],[RIDER]]="","",IF(COUNTIF(K18:T18, "E"), "E", (SUM(K18:T18)-U18)))</f>
        <v/>
      </c>
      <c r="K18" s="17">
        <v>0</v>
      </c>
      <c r="L18" s="17">
        <v>0</v>
      </c>
      <c r="M18" s="17">
        <v>0</v>
      </c>
      <c r="N18" s="17">
        <v>0</v>
      </c>
      <c r="O18" s="17">
        <v>0</v>
      </c>
      <c r="P18" s="17">
        <v>0</v>
      </c>
      <c r="Q18" s="17">
        <v>0</v>
      </c>
      <c r="R18" s="17">
        <v>0</v>
      </c>
      <c r="S18" s="17">
        <v>0</v>
      </c>
      <c r="T18" s="17">
        <v>0</v>
      </c>
      <c r="U18" s="17">
        <v>0</v>
      </c>
      <c r="V18" s="17"/>
      <c r="W18" s="17"/>
      <c r="X18" s="18" t="str">
        <f>IF(C18="","",IF(OR(Table9[[#This Row],[Outside/Broke (O/B)]]="O",Table9[[#This Row],[Outside/Broke (O/B)]]="B"),0,VLOOKUP((V18/MAlength*150),CanterScore,2,TRUE)))</f>
        <v/>
      </c>
      <c r="Y18" s="17"/>
      <c r="Z18" s="17"/>
      <c r="AA18" s="18" t="str">
        <f>IF(C18="","",IF(OR(Table9[[#This Row],[Outside/Broke (O/B)2]]="O",Table9[[#This Row],[Outside/Broke (O/B)2]]="B"),0,IF((Y18/MAlength*150)=0, 0,IF((Y18/MAlength*150)&lt;'MA calc'!$A$4, 15, VLOOKUP((Y18/MAlength*150),WalkScore,2,TRUE)))))</f>
        <v/>
      </c>
      <c r="AB18" s="17"/>
    </row>
    <row r="19" spans="1:28" s="35" customFormat="1" x14ac:dyDescent="0.3">
      <c r="A19" s="17"/>
      <c r="B19" s="17"/>
      <c r="C19" s="17"/>
      <c r="D19" s="17"/>
      <c r="E19" s="17"/>
      <c r="F19" s="17"/>
      <c r="G19" s="42" t="str">
        <f t="shared" si="0"/>
        <v/>
      </c>
      <c r="H19" s="52" t="str">
        <f>IF(Table9[[#This Row],[RIDER]]="","",IF((COUNTIF(J19, "E")), "E", (SUM(J19+I19))))</f>
        <v/>
      </c>
      <c r="I19" s="52" t="str">
        <f>IF(Table9[[#This Row],[RIDER]]="","",SUM(X19,AA19))</f>
        <v/>
      </c>
      <c r="J19" s="42" t="str">
        <f>IF(Table9[[#This Row],[RIDER]]="","",IF(COUNTIF(K19:T19, "E"), "E", (SUM(K19:T19)-U19)))</f>
        <v/>
      </c>
      <c r="K19" s="17">
        <v>0</v>
      </c>
      <c r="L19" s="17">
        <v>0</v>
      </c>
      <c r="M19" s="17">
        <v>0</v>
      </c>
      <c r="N19" s="17">
        <v>0</v>
      </c>
      <c r="O19" s="17">
        <v>0</v>
      </c>
      <c r="P19" s="17">
        <v>0</v>
      </c>
      <c r="Q19" s="17">
        <v>0</v>
      </c>
      <c r="R19" s="17">
        <v>0</v>
      </c>
      <c r="S19" s="17">
        <v>0</v>
      </c>
      <c r="T19" s="17">
        <v>0</v>
      </c>
      <c r="U19" s="17">
        <v>0</v>
      </c>
      <c r="V19" s="17"/>
      <c r="W19" s="17"/>
      <c r="X19" s="18" t="str">
        <f>IF(C19="","",IF(OR(Table9[[#This Row],[Outside/Broke (O/B)]]="O",Table9[[#This Row],[Outside/Broke (O/B)]]="B"),0,VLOOKUP((V19/MAlength*150),CanterScore,2,TRUE)))</f>
        <v/>
      </c>
      <c r="Y19" s="17"/>
      <c r="Z19" s="17"/>
      <c r="AA19" s="18" t="str">
        <f>IF(C19="","",IF(OR(Table9[[#This Row],[Outside/Broke (O/B)2]]="O",Table9[[#This Row],[Outside/Broke (O/B)2]]="B"),0,IF((Y19/MAlength*150)=0, 0,IF((Y19/MAlength*150)&lt;'MA calc'!$A$4, 15, VLOOKUP((Y19/MAlength*150),WalkScore,2,TRUE)))))</f>
        <v/>
      </c>
      <c r="AB19" s="17"/>
    </row>
    <row r="20" spans="1:28" s="35" customFormat="1" x14ac:dyDescent="0.3">
      <c r="A20" s="17"/>
      <c r="B20" s="17"/>
      <c r="C20" s="17"/>
      <c r="D20" s="17"/>
      <c r="E20" s="17"/>
      <c r="F20" s="17"/>
      <c r="G20" s="42" t="str">
        <f t="shared" si="0"/>
        <v/>
      </c>
      <c r="H20" s="52" t="str">
        <f>IF(Table9[[#This Row],[RIDER]]="","",IF((COUNTIF(J20, "E")), "E", (SUM(J20+I20))))</f>
        <v/>
      </c>
      <c r="I20" s="52" t="str">
        <f>IF(Table9[[#This Row],[RIDER]]="","",SUM(X20,AA20))</f>
        <v/>
      </c>
      <c r="J20" s="42" t="str">
        <f>IF(Table9[[#This Row],[RIDER]]="","",IF(COUNTIF(K20:T20, "E"), "E", (SUM(K20:T20)-U20)))</f>
        <v/>
      </c>
      <c r="K20" s="17">
        <v>0</v>
      </c>
      <c r="L20" s="17">
        <v>0</v>
      </c>
      <c r="M20" s="17">
        <v>0</v>
      </c>
      <c r="N20" s="17">
        <v>0</v>
      </c>
      <c r="O20" s="17">
        <v>0</v>
      </c>
      <c r="P20" s="17">
        <v>0</v>
      </c>
      <c r="Q20" s="17">
        <v>0</v>
      </c>
      <c r="R20" s="17">
        <v>0</v>
      </c>
      <c r="S20" s="17">
        <v>0</v>
      </c>
      <c r="T20" s="17">
        <v>0</v>
      </c>
      <c r="U20" s="17">
        <v>0</v>
      </c>
      <c r="V20" s="17"/>
      <c r="W20" s="17"/>
      <c r="X20" s="18" t="str">
        <f>IF(C20="","",IF(OR(Table9[[#This Row],[Outside/Broke (O/B)]]="O",Table9[[#This Row],[Outside/Broke (O/B)]]="B"),0,VLOOKUP((V20/MAlength*150),CanterScore,2,TRUE)))</f>
        <v/>
      </c>
      <c r="Y20" s="17"/>
      <c r="Z20" s="17"/>
      <c r="AA20" s="18" t="str">
        <f>IF(C20="","",IF(OR(Table9[[#This Row],[Outside/Broke (O/B)2]]="O",Table9[[#This Row],[Outside/Broke (O/B)2]]="B"),0,IF((Y20/MAlength*150)=0, 0,IF((Y20/MAlength*150)&lt;'MA calc'!$A$4, 15, VLOOKUP((Y20/MAlength*150),WalkScore,2,TRUE)))))</f>
        <v/>
      </c>
      <c r="AB20" s="17"/>
    </row>
    <row r="21" spans="1:28" s="35" customFormat="1" x14ac:dyDescent="0.3">
      <c r="A21" s="17"/>
      <c r="B21" s="17"/>
      <c r="C21" s="17"/>
      <c r="D21" s="17"/>
      <c r="E21" s="17"/>
      <c r="F21" s="17"/>
      <c r="G21" s="42" t="str">
        <f t="shared" si="0"/>
        <v/>
      </c>
      <c r="H21" s="52" t="str">
        <f>IF(Table9[[#This Row],[RIDER]]="","",IF((COUNTIF(J21, "E")), "E", (SUM(J21+I21))))</f>
        <v/>
      </c>
      <c r="I21" s="52" t="str">
        <f>IF(Table9[[#This Row],[RIDER]]="","",SUM(X21,AA21))</f>
        <v/>
      </c>
      <c r="J21" s="42" t="str">
        <f>IF(Table9[[#This Row],[RIDER]]="","",IF(COUNTIF(K21:T21, "E"), "E", (SUM(K21:T21)-U21)))</f>
        <v/>
      </c>
      <c r="K21" s="17">
        <v>0</v>
      </c>
      <c r="L21" s="17">
        <v>0</v>
      </c>
      <c r="M21" s="17">
        <v>0</v>
      </c>
      <c r="N21" s="17">
        <v>0</v>
      </c>
      <c r="O21" s="17">
        <v>0</v>
      </c>
      <c r="P21" s="17">
        <v>0</v>
      </c>
      <c r="Q21" s="17">
        <v>0</v>
      </c>
      <c r="R21" s="17">
        <v>0</v>
      </c>
      <c r="S21" s="17">
        <v>0</v>
      </c>
      <c r="T21" s="17">
        <v>0</v>
      </c>
      <c r="U21" s="17">
        <v>0</v>
      </c>
      <c r="V21" s="17"/>
      <c r="W21" s="17"/>
      <c r="X21" s="18" t="str">
        <f>IF(C21="","",IF(OR(Table9[[#This Row],[Outside/Broke (O/B)]]="O",Table9[[#This Row],[Outside/Broke (O/B)]]="B"),0,VLOOKUP((V21/MAlength*150),CanterScore,2,TRUE)))</f>
        <v/>
      </c>
      <c r="Y21" s="17"/>
      <c r="Z21" s="17"/>
      <c r="AA21" s="18" t="str">
        <f>IF(C21="","",IF(OR(Table9[[#This Row],[Outside/Broke (O/B)2]]="O",Table9[[#This Row],[Outside/Broke (O/B)2]]="B"),0,IF((Y21/MAlength*150)=0, 0,IF((Y21/MAlength*150)&lt;'MA calc'!$A$4, 15, VLOOKUP((Y21/MAlength*150),WalkScore,2,TRUE)))))</f>
        <v/>
      </c>
      <c r="AB21" s="17"/>
    </row>
    <row r="22" spans="1:28" s="35" customFormat="1" x14ac:dyDescent="0.3">
      <c r="A22" s="17"/>
      <c r="B22" s="17"/>
      <c r="C22" s="17"/>
      <c r="D22" s="17"/>
      <c r="E22" s="17"/>
      <c r="F22" s="17"/>
      <c r="G22" s="42" t="str">
        <f t="shared" si="0"/>
        <v/>
      </c>
      <c r="H22" s="52" t="str">
        <f>IF(Table9[[#This Row],[RIDER]]="","",IF((COUNTIF(J22, "E")), "E", (SUM(J22+I22))))</f>
        <v/>
      </c>
      <c r="I22" s="52" t="str">
        <f>IF(Table9[[#This Row],[RIDER]]="","",SUM(X22,AA22))</f>
        <v/>
      </c>
      <c r="J22" s="42" t="str">
        <f>IF(Table9[[#This Row],[RIDER]]="","",IF(COUNTIF(K22:T22, "E"), "E", (SUM(K22:T22)-U22)))</f>
        <v/>
      </c>
      <c r="K22" s="17">
        <v>0</v>
      </c>
      <c r="L22" s="17">
        <v>0</v>
      </c>
      <c r="M22" s="17">
        <v>0</v>
      </c>
      <c r="N22" s="17">
        <v>0</v>
      </c>
      <c r="O22" s="17">
        <v>0</v>
      </c>
      <c r="P22" s="17">
        <v>0</v>
      </c>
      <c r="Q22" s="17">
        <v>0</v>
      </c>
      <c r="R22" s="17">
        <v>0</v>
      </c>
      <c r="S22" s="17">
        <v>0</v>
      </c>
      <c r="T22" s="17">
        <v>0</v>
      </c>
      <c r="U22" s="17">
        <v>0</v>
      </c>
      <c r="V22" s="17"/>
      <c r="W22" s="17"/>
      <c r="X22" s="18" t="str">
        <f>IF(C22="","",IF(OR(Table9[[#This Row],[Outside/Broke (O/B)]]="O",Table9[[#This Row],[Outside/Broke (O/B)]]="B"),0,VLOOKUP((V22/MAlength*150),CanterScore,2,TRUE)))</f>
        <v/>
      </c>
      <c r="Y22" s="17"/>
      <c r="Z22" s="17"/>
      <c r="AA22" s="18" t="str">
        <f>IF(C22="","",IF(OR(Table9[[#This Row],[Outside/Broke (O/B)2]]="O",Table9[[#This Row],[Outside/Broke (O/B)2]]="B"),0,IF((Y22/MAlength*150)=0, 0,IF((Y22/MAlength*150)&lt;'MA calc'!$A$4, 15, VLOOKUP((Y22/MAlength*150),WalkScore,2,TRUE)))))</f>
        <v/>
      </c>
      <c r="AB22" s="17"/>
    </row>
    <row r="23" spans="1:28" s="35" customFormat="1" x14ac:dyDescent="0.3">
      <c r="A23" s="17"/>
      <c r="B23" s="17"/>
      <c r="C23" s="17"/>
      <c r="D23" s="17"/>
      <c r="E23" s="17"/>
      <c r="F23" s="17"/>
      <c r="G23" s="42" t="str">
        <f t="shared" si="0"/>
        <v/>
      </c>
      <c r="H23" s="52" t="str">
        <f>IF(Table9[[#This Row],[RIDER]]="","",IF((COUNTIF(J23, "E")), "E", (SUM(J23+I23))))</f>
        <v/>
      </c>
      <c r="I23" s="52" t="str">
        <f>IF(Table9[[#This Row],[RIDER]]="","",SUM(X23,AA23))</f>
        <v/>
      </c>
      <c r="J23" s="42" t="str">
        <f>IF(Table9[[#This Row],[RIDER]]="","",IF(COUNTIF(K23:T23, "E"), "E", (SUM(K23:T23)-U23)))</f>
        <v/>
      </c>
      <c r="K23" s="17">
        <v>0</v>
      </c>
      <c r="L23" s="17">
        <v>0</v>
      </c>
      <c r="M23" s="17">
        <v>0</v>
      </c>
      <c r="N23" s="17">
        <v>0</v>
      </c>
      <c r="O23" s="17">
        <v>0</v>
      </c>
      <c r="P23" s="17">
        <v>0</v>
      </c>
      <c r="Q23" s="17">
        <v>0</v>
      </c>
      <c r="R23" s="17">
        <v>0</v>
      </c>
      <c r="S23" s="17">
        <v>0</v>
      </c>
      <c r="T23" s="17">
        <v>0</v>
      </c>
      <c r="U23" s="17">
        <v>0</v>
      </c>
      <c r="V23" s="17"/>
      <c r="W23" s="17"/>
      <c r="X23" s="18" t="str">
        <f>IF(C23="","",IF(OR(Table9[[#This Row],[Outside/Broke (O/B)]]="O",Table9[[#This Row],[Outside/Broke (O/B)]]="B"),0,VLOOKUP((V23/MAlength*150),CanterScore,2,TRUE)))</f>
        <v/>
      </c>
      <c r="Y23" s="17"/>
      <c r="Z23" s="17"/>
      <c r="AA23" s="18" t="str">
        <f>IF(C23="","",IF(OR(Table9[[#This Row],[Outside/Broke (O/B)2]]="O",Table9[[#This Row],[Outside/Broke (O/B)2]]="B"),0,IF((Y23/MAlength*150)=0, 0,IF((Y23/MAlength*150)&lt;'MA calc'!$A$4, 15, VLOOKUP((Y23/MAlength*150),WalkScore,2,TRUE)))))</f>
        <v/>
      </c>
      <c r="AB23" s="17"/>
    </row>
    <row r="24" spans="1:28" s="35" customFormat="1" x14ac:dyDescent="0.3">
      <c r="A24" s="17"/>
      <c r="B24" s="17"/>
      <c r="C24" s="17"/>
      <c r="D24" s="17"/>
      <c r="E24" s="17"/>
      <c r="F24" s="17"/>
      <c r="G24" s="42" t="str">
        <f t="shared" si="0"/>
        <v/>
      </c>
      <c r="H24" s="52" t="str">
        <f>IF(Table9[[#This Row],[RIDER]]="","",IF((COUNTIF(J24, "E")), "E", (SUM(J24+I24))))</f>
        <v/>
      </c>
      <c r="I24" s="52" t="str">
        <f>IF(Table9[[#This Row],[RIDER]]="","",SUM(X24,AA24))</f>
        <v/>
      </c>
      <c r="J24" s="42" t="str">
        <f>IF(Table9[[#This Row],[RIDER]]="","",IF(COUNTIF(K24:T24, "E"), "E", (SUM(K24:T24)-U24)))</f>
        <v/>
      </c>
      <c r="K24" s="17">
        <v>0</v>
      </c>
      <c r="L24" s="17">
        <v>0</v>
      </c>
      <c r="M24" s="17">
        <v>0</v>
      </c>
      <c r="N24" s="17">
        <v>0</v>
      </c>
      <c r="O24" s="17">
        <v>0</v>
      </c>
      <c r="P24" s="17">
        <v>0</v>
      </c>
      <c r="Q24" s="17">
        <v>0</v>
      </c>
      <c r="R24" s="17">
        <v>0</v>
      </c>
      <c r="S24" s="17">
        <v>0</v>
      </c>
      <c r="T24" s="17">
        <v>0</v>
      </c>
      <c r="U24" s="17">
        <v>0</v>
      </c>
      <c r="V24" s="17"/>
      <c r="W24" s="17"/>
      <c r="X24" s="18" t="str">
        <f>IF(C24="","",IF(OR(Table9[[#This Row],[Outside/Broke (O/B)]]="O",Table9[[#This Row],[Outside/Broke (O/B)]]="B"),0,VLOOKUP((V24/MAlength*150),CanterScore,2,TRUE)))</f>
        <v/>
      </c>
      <c r="Y24" s="17"/>
      <c r="Z24" s="17"/>
      <c r="AA24" s="18" t="str">
        <f>IF(C24="","",IF(OR(Table9[[#This Row],[Outside/Broke (O/B)2]]="O",Table9[[#This Row],[Outside/Broke (O/B)2]]="B"),0,IF((Y24/MAlength*150)=0, 0,IF((Y24/MAlength*150)&lt;'MA calc'!$A$4, 15, VLOOKUP((Y24/MAlength*150),WalkScore,2,TRUE)))))</f>
        <v/>
      </c>
      <c r="AB24" s="17"/>
    </row>
    <row r="25" spans="1:28" s="35" customFormat="1" x14ac:dyDescent="0.3">
      <c r="A25" s="17"/>
      <c r="B25" s="17"/>
      <c r="C25" s="17"/>
      <c r="D25" s="17"/>
      <c r="E25" s="17"/>
      <c r="F25" s="17"/>
      <c r="G25" s="42" t="str">
        <f t="shared" si="0"/>
        <v/>
      </c>
      <c r="H25" s="52" t="str">
        <f>IF(Table9[[#This Row],[RIDER]]="","",IF((COUNTIF(J25, "E")), "E", (SUM(J25+I25))))</f>
        <v/>
      </c>
      <c r="I25" s="52" t="str">
        <f>IF(Table9[[#This Row],[RIDER]]="","",SUM(X25,AA25))</f>
        <v/>
      </c>
      <c r="J25" s="42" t="str">
        <f>IF(Table9[[#This Row],[RIDER]]="","",IF(COUNTIF(K25:T25, "E"), "E", (SUM(K25:T25)-U25)))</f>
        <v/>
      </c>
      <c r="K25" s="17">
        <v>0</v>
      </c>
      <c r="L25" s="17">
        <v>0</v>
      </c>
      <c r="M25" s="17">
        <v>0</v>
      </c>
      <c r="N25" s="17">
        <v>0</v>
      </c>
      <c r="O25" s="17">
        <v>0</v>
      </c>
      <c r="P25" s="17">
        <v>0</v>
      </c>
      <c r="Q25" s="17">
        <v>0</v>
      </c>
      <c r="R25" s="17">
        <v>0</v>
      </c>
      <c r="S25" s="17">
        <v>0</v>
      </c>
      <c r="T25" s="17">
        <v>0</v>
      </c>
      <c r="U25" s="17">
        <v>0</v>
      </c>
      <c r="V25" s="17"/>
      <c r="W25" s="17"/>
      <c r="X25" s="18" t="str">
        <f>IF(C25="","",IF(OR(Table9[[#This Row],[Outside/Broke (O/B)]]="O",Table9[[#This Row],[Outside/Broke (O/B)]]="B"),0,VLOOKUP((V25/MAlength*150),CanterScore,2,TRUE)))</f>
        <v/>
      </c>
      <c r="Y25" s="17"/>
      <c r="Z25" s="17"/>
      <c r="AA25" s="18" t="str">
        <f>IF(C25="","",IF(OR(Table9[[#This Row],[Outside/Broke (O/B)2]]="O",Table9[[#This Row],[Outside/Broke (O/B)2]]="B"),0,IF((Y25/MAlength*150)=0, 0,IF((Y25/MAlength*150)&lt;'MA calc'!$A$4, 15, VLOOKUP((Y25/MAlength*150),WalkScore,2,TRUE)))))</f>
        <v/>
      </c>
      <c r="AB25" s="17"/>
    </row>
    <row r="26" spans="1:28" s="35" customFormat="1" x14ac:dyDescent="0.3">
      <c r="A26" s="17"/>
      <c r="B26" s="17"/>
      <c r="C26" s="17"/>
      <c r="D26" s="17"/>
      <c r="E26" s="17"/>
      <c r="F26" s="17"/>
      <c r="G26" s="42" t="str">
        <f t="shared" si="0"/>
        <v/>
      </c>
      <c r="H26" s="52" t="str">
        <f>IF(Table9[[#This Row],[RIDER]]="","",IF((COUNTIF(J26, "E")), "E", (SUM(J26+I26))))</f>
        <v/>
      </c>
      <c r="I26" s="52" t="str">
        <f>IF(Table9[[#This Row],[RIDER]]="","",SUM(X26,AA26))</f>
        <v/>
      </c>
      <c r="J26" s="42" t="str">
        <f>IF(Table9[[#This Row],[RIDER]]="","",IF(COUNTIF(K26:T26, "E"), "E", (SUM(K26:T26)-U26)))</f>
        <v/>
      </c>
      <c r="K26" s="17">
        <v>0</v>
      </c>
      <c r="L26" s="17">
        <v>0</v>
      </c>
      <c r="M26" s="17">
        <v>0</v>
      </c>
      <c r="N26" s="17">
        <v>0</v>
      </c>
      <c r="O26" s="17">
        <v>0</v>
      </c>
      <c r="P26" s="17">
        <v>0</v>
      </c>
      <c r="Q26" s="17">
        <v>0</v>
      </c>
      <c r="R26" s="17">
        <v>0</v>
      </c>
      <c r="S26" s="17">
        <v>0</v>
      </c>
      <c r="T26" s="17">
        <v>0</v>
      </c>
      <c r="U26" s="17">
        <v>0</v>
      </c>
      <c r="V26" s="17"/>
      <c r="W26" s="17"/>
      <c r="X26" s="18" t="str">
        <f>IF(C26="","",IF(OR(Table9[[#This Row],[Outside/Broke (O/B)]]="O",Table9[[#This Row],[Outside/Broke (O/B)]]="B"),0,VLOOKUP((V26/MAlength*150),CanterScore,2,TRUE)))</f>
        <v/>
      </c>
      <c r="Y26" s="17"/>
      <c r="Z26" s="17"/>
      <c r="AA26" s="18" t="str">
        <f>IF(C26="","",IF(OR(Table9[[#This Row],[Outside/Broke (O/B)2]]="O",Table9[[#This Row],[Outside/Broke (O/B)2]]="B"),0,IF((Y26/MAlength*150)=0, 0,IF((Y26/MAlength*150)&lt;'MA calc'!$A$4, 15, VLOOKUP((Y26/MAlength*150),WalkScore,2,TRUE)))))</f>
        <v/>
      </c>
      <c r="AB26" s="17"/>
    </row>
    <row r="27" spans="1:28" s="35" customFormat="1" x14ac:dyDescent="0.3">
      <c r="A27" s="17"/>
      <c r="B27" s="17"/>
      <c r="C27" s="17"/>
      <c r="D27" s="17"/>
      <c r="E27" s="17"/>
      <c r="F27" s="17"/>
      <c r="G27" s="42" t="str">
        <f t="shared" si="0"/>
        <v/>
      </c>
      <c r="H27" s="52" t="str">
        <f>IF(Table9[[#This Row],[RIDER]]="","",IF((COUNTIF(J27, "E")), "E", (SUM(J27+I27))))</f>
        <v/>
      </c>
      <c r="I27" s="52" t="str">
        <f>IF(Table9[[#This Row],[RIDER]]="","",SUM(X27,AA27))</f>
        <v/>
      </c>
      <c r="J27" s="42" t="str">
        <f>IF(Table9[[#This Row],[RIDER]]="","",IF(COUNTIF(K27:T27, "E"), "E", (SUM(K27:T27)-U27)))</f>
        <v/>
      </c>
      <c r="K27" s="17">
        <v>0</v>
      </c>
      <c r="L27" s="17">
        <v>0</v>
      </c>
      <c r="M27" s="17">
        <v>0</v>
      </c>
      <c r="N27" s="17">
        <v>0</v>
      </c>
      <c r="O27" s="17">
        <v>0</v>
      </c>
      <c r="P27" s="17">
        <v>0</v>
      </c>
      <c r="Q27" s="17">
        <v>0</v>
      </c>
      <c r="R27" s="17">
        <v>0</v>
      </c>
      <c r="S27" s="17">
        <v>0</v>
      </c>
      <c r="T27" s="17">
        <v>0</v>
      </c>
      <c r="U27" s="17">
        <v>0</v>
      </c>
      <c r="V27" s="17"/>
      <c r="W27" s="17"/>
      <c r="X27" s="18" t="str">
        <f>IF(C27="","",IF(OR(Table9[[#This Row],[Outside/Broke (O/B)]]="O",Table9[[#This Row],[Outside/Broke (O/B)]]="B"),0,VLOOKUP((V27/MAlength*150),CanterScore,2,TRUE)))</f>
        <v/>
      </c>
      <c r="Y27" s="17"/>
      <c r="Z27" s="17"/>
      <c r="AA27" s="18" t="str">
        <f>IF(C27="","",IF(OR(Table9[[#This Row],[Outside/Broke (O/B)2]]="O",Table9[[#This Row],[Outside/Broke (O/B)2]]="B"),0,IF((Y27/MAlength*150)=0, 0,IF((Y27/MAlength*150)&lt;'MA calc'!$A$4, 15, VLOOKUP((Y27/MAlength*150),WalkScore,2,TRUE)))))</f>
        <v/>
      </c>
      <c r="AB27" s="17"/>
    </row>
    <row r="28" spans="1:28" s="35" customFormat="1" x14ac:dyDescent="0.3">
      <c r="A28" s="17"/>
      <c r="B28" s="17"/>
      <c r="C28" s="17"/>
      <c r="D28" s="17"/>
      <c r="E28" s="17"/>
      <c r="F28" s="17"/>
      <c r="G28" s="42" t="str">
        <f t="shared" si="0"/>
        <v/>
      </c>
      <c r="H28" s="52" t="str">
        <f>IF(Table9[[#This Row],[RIDER]]="","",IF((COUNTIF(J28, "E")), "E", (SUM(J28+I28))))</f>
        <v/>
      </c>
      <c r="I28" s="52" t="str">
        <f>IF(Table9[[#This Row],[RIDER]]="","",SUM(X28,AA28))</f>
        <v/>
      </c>
      <c r="J28" s="42" t="str">
        <f>IF(Table9[[#This Row],[RIDER]]="","",IF(COUNTIF(K28:T28, "E"), "E", (SUM(K28:T28)-U28)))</f>
        <v/>
      </c>
      <c r="K28" s="17">
        <v>0</v>
      </c>
      <c r="L28" s="17">
        <v>0</v>
      </c>
      <c r="M28" s="17">
        <v>0</v>
      </c>
      <c r="N28" s="17">
        <v>0</v>
      </c>
      <c r="O28" s="17">
        <v>0</v>
      </c>
      <c r="P28" s="17">
        <v>0</v>
      </c>
      <c r="Q28" s="17">
        <v>0</v>
      </c>
      <c r="R28" s="17">
        <v>0</v>
      </c>
      <c r="S28" s="17">
        <v>0</v>
      </c>
      <c r="T28" s="17">
        <v>0</v>
      </c>
      <c r="U28" s="17">
        <v>0</v>
      </c>
      <c r="V28" s="17"/>
      <c r="W28" s="17"/>
      <c r="X28" s="18" t="str">
        <f>IF(C28="","",IF(OR(Table9[[#This Row],[Outside/Broke (O/B)]]="O",Table9[[#This Row],[Outside/Broke (O/B)]]="B"),0,VLOOKUP((V28/MAlength*150),CanterScore,2,TRUE)))</f>
        <v/>
      </c>
      <c r="Y28" s="17"/>
      <c r="Z28" s="17"/>
      <c r="AA28" s="18" t="str">
        <f>IF(C28="","",IF(OR(Table9[[#This Row],[Outside/Broke (O/B)2]]="O",Table9[[#This Row],[Outside/Broke (O/B)2]]="B"),0,IF((Y28/MAlength*150)=0, 0,IF((Y28/MAlength*150)&lt;'MA calc'!$A$4, 15, VLOOKUP((Y28/MAlength*150),WalkScore,2,TRUE)))))</f>
        <v/>
      </c>
      <c r="AB28" s="17"/>
    </row>
    <row r="29" spans="1:28" s="35" customFormat="1" x14ac:dyDescent="0.3">
      <c r="A29" s="17"/>
      <c r="B29" s="17"/>
      <c r="C29" s="17"/>
      <c r="D29" s="17"/>
      <c r="E29" s="17"/>
      <c r="F29" s="17"/>
      <c r="G29" s="42" t="str">
        <f t="shared" si="0"/>
        <v/>
      </c>
      <c r="H29" s="52" t="str">
        <f>IF(Table9[[#This Row],[RIDER]]="","",IF((COUNTIF(J29, "E")), "E", (SUM(J29+I29))))</f>
        <v/>
      </c>
      <c r="I29" s="52" t="str">
        <f>IF(Table9[[#This Row],[RIDER]]="","",SUM(X29,AA29))</f>
        <v/>
      </c>
      <c r="J29" s="42" t="str">
        <f>IF(Table9[[#This Row],[RIDER]]="","",IF(COUNTIF(K29:T29, "E"), "E", (SUM(K29:T29)-U29)))</f>
        <v/>
      </c>
      <c r="K29" s="17">
        <v>0</v>
      </c>
      <c r="L29" s="17">
        <v>0</v>
      </c>
      <c r="M29" s="17">
        <v>0</v>
      </c>
      <c r="N29" s="17">
        <v>0</v>
      </c>
      <c r="O29" s="17">
        <v>0</v>
      </c>
      <c r="P29" s="17">
        <v>0</v>
      </c>
      <c r="Q29" s="17">
        <v>0</v>
      </c>
      <c r="R29" s="17">
        <v>0</v>
      </c>
      <c r="S29" s="17">
        <v>0</v>
      </c>
      <c r="T29" s="17">
        <v>0</v>
      </c>
      <c r="U29" s="17">
        <v>0</v>
      </c>
      <c r="V29" s="17"/>
      <c r="W29" s="17"/>
      <c r="X29" s="18" t="str">
        <f>IF(C29="","",IF(OR(Table9[[#This Row],[Outside/Broke (O/B)]]="O",Table9[[#This Row],[Outside/Broke (O/B)]]="B"),0,VLOOKUP((V29/MAlength*150),CanterScore,2,TRUE)))</f>
        <v/>
      </c>
      <c r="Y29" s="17"/>
      <c r="Z29" s="17"/>
      <c r="AA29" s="18" t="str">
        <f>IF(C29="","",IF(OR(Table9[[#This Row],[Outside/Broke (O/B)2]]="O",Table9[[#This Row],[Outside/Broke (O/B)2]]="B"),0,IF((Y29/MAlength*150)=0, 0,IF((Y29/MAlength*150)&lt;'MA calc'!$A$4, 15, VLOOKUP((Y29/MAlength*150),WalkScore,2,TRUE)))))</f>
        <v/>
      </c>
      <c r="AB29" s="17"/>
    </row>
    <row r="30" spans="1:28" s="35" customFormat="1" x14ac:dyDescent="0.3">
      <c r="A30" s="17"/>
      <c r="B30" s="17"/>
      <c r="C30" s="17"/>
      <c r="D30" s="17"/>
      <c r="E30" s="17"/>
      <c r="F30" s="17"/>
      <c r="G30" s="42" t="str">
        <f t="shared" si="0"/>
        <v/>
      </c>
      <c r="H30" s="52" t="str">
        <f>IF(Table9[[#This Row],[RIDER]]="","",IF((COUNTIF(J30, "E")), "E", (SUM(J30+I30))))</f>
        <v/>
      </c>
      <c r="I30" s="52" t="str">
        <f>IF(Table9[[#This Row],[RIDER]]="","",SUM(X30,AA30))</f>
        <v/>
      </c>
      <c r="J30" s="42" t="str">
        <f>IF(Table9[[#This Row],[RIDER]]="","",IF(COUNTIF(K30:T30, "E"), "E", (SUM(K30:T30)-U30)))</f>
        <v/>
      </c>
      <c r="K30" s="17">
        <v>0</v>
      </c>
      <c r="L30" s="17">
        <v>0</v>
      </c>
      <c r="M30" s="17">
        <v>0</v>
      </c>
      <c r="N30" s="17">
        <v>0</v>
      </c>
      <c r="O30" s="17">
        <v>0</v>
      </c>
      <c r="P30" s="17">
        <v>0</v>
      </c>
      <c r="Q30" s="17">
        <v>0</v>
      </c>
      <c r="R30" s="17">
        <v>0</v>
      </c>
      <c r="S30" s="17">
        <v>0</v>
      </c>
      <c r="T30" s="17">
        <v>0</v>
      </c>
      <c r="U30" s="17">
        <v>0</v>
      </c>
      <c r="V30" s="17"/>
      <c r="W30" s="17"/>
      <c r="X30" s="18" t="str">
        <f>IF(C30="","",IF(OR(Table9[[#This Row],[Outside/Broke (O/B)]]="O",Table9[[#This Row],[Outside/Broke (O/B)]]="B"),0,VLOOKUP((V30/MAlength*150),CanterScore,2,TRUE)))</f>
        <v/>
      </c>
      <c r="Y30" s="17"/>
      <c r="Z30" s="17"/>
      <c r="AA30" s="18" t="str">
        <f>IF(C30="","",IF(OR(Table9[[#This Row],[Outside/Broke (O/B)2]]="O",Table9[[#This Row],[Outside/Broke (O/B)2]]="B"),0,IF((Y30/MAlength*150)=0, 0,IF((Y30/MAlength*150)&lt;'MA calc'!$A$4, 15, VLOOKUP((Y30/MAlength*150),WalkScore,2,TRUE)))))</f>
        <v/>
      </c>
      <c r="AB30" s="17"/>
    </row>
    <row r="31" spans="1:28" s="35" customFormat="1" x14ac:dyDescent="0.3">
      <c r="A31" s="17"/>
      <c r="B31" s="17"/>
      <c r="C31" s="17"/>
      <c r="D31" s="17"/>
      <c r="E31" s="17"/>
      <c r="F31" s="17"/>
      <c r="G31" s="42" t="str">
        <f t="shared" si="0"/>
        <v/>
      </c>
      <c r="H31" s="52" t="str">
        <f>IF(Table9[[#This Row],[RIDER]]="","",IF((COUNTIF(J31, "E")), "E", (SUM(J31+I31))))</f>
        <v/>
      </c>
      <c r="I31" s="52" t="str">
        <f>IF(Table9[[#This Row],[RIDER]]="","",SUM(X31,AA31))</f>
        <v/>
      </c>
      <c r="J31" s="42" t="str">
        <f>IF(Table9[[#This Row],[RIDER]]="","",IF(COUNTIF(K31:T31, "E"), "E", (SUM(K31:T31)-U31)))</f>
        <v/>
      </c>
      <c r="K31" s="17">
        <v>0</v>
      </c>
      <c r="L31" s="17">
        <v>0</v>
      </c>
      <c r="M31" s="17">
        <v>0</v>
      </c>
      <c r="N31" s="17">
        <v>0</v>
      </c>
      <c r="O31" s="17">
        <v>0</v>
      </c>
      <c r="P31" s="17">
        <v>0</v>
      </c>
      <c r="Q31" s="17">
        <v>0</v>
      </c>
      <c r="R31" s="17">
        <v>0</v>
      </c>
      <c r="S31" s="17">
        <v>0</v>
      </c>
      <c r="T31" s="17">
        <v>0</v>
      </c>
      <c r="U31" s="17">
        <v>0</v>
      </c>
      <c r="V31" s="17"/>
      <c r="W31" s="17"/>
      <c r="X31" s="18" t="str">
        <f>IF(C31="","",IF(OR(Table9[[#This Row],[Outside/Broke (O/B)]]="O",Table9[[#This Row],[Outside/Broke (O/B)]]="B"),0,VLOOKUP((V31/MAlength*150),CanterScore,2,TRUE)))</f>
        <v/>
      </c>
      <c r="Y31" s="17"/>
      <c r="Z31" s="17"/>
      <c r="AA31" s="18" t="str">
        <f>IF(C31="","",IF(OR(Table9[[#This Row],[Outside/Broke (O/B)2]]="O",Table9[[#This Row],[Outside/Broke (O/B)2]]="B"),0,IF((Y31/MAlength*150)=0, 0,IF((Y31/MAlength*150)&lt;'MA calc'!$A$4, 15, VLOOKUP((Y31/MAlength*150),WalkScore,2,TRUE)))))</f>
        <v/>
      </c>
      <c r="AB31" s="17"/>
    </row>
    <row r="32" spans="1:28" s="35" customFormat="1" x14ac:dyDescent="0.3">
      <c r="A32" s="17"/>
      <c r="B32" s="17"/>
      <c r="C32" s="17"/>
      <c r="D32" s="17"/>
      <c r="E32" s="17"/>
      <c r="F32" s="17"/>
      <c r="G32" s="42" t="str">
        <f t="shared" si="0"/>
        <v/>
      </c>
      <c r="H32" s="52" t="str">
        <f>IF(Table9[[#This Row],[RIDER]]="","",IF((COUNTIF(J32, "E")), "E", (SUM(J32+I32))))</f>
        <v/>
      </c>
      <c r="I32" s="52" t="str">
        <f>IF(Table9[[#This Row],[RIDER]]="","",SUM(X32,AA32))</f>
        <v/>
      </c>
      <c r="J32" s="42" t="str">
        <f>IF(Table9[[#This Row],[RIDER]]="","",IF(COUNTIF(K32:T32, "E"), "E", (SUM(K32:T32)-U32)))</f>
        <v/>
      </c>
      <c r="K32" s="17">
        <v>0</v>
      </c>
      <c r="L32" s="17">
        <v>0</v>
      </c>
      <c r="M32" s="17">
        <v>0</v>
      </c>
      <c r="N32" s="17">
        <v>0</v>
      </c>
      <c r="O32" s="17">
        <v>0</v>
      </c>
      <c r="P32" s="17">
        <v>0</v>
      </c>
      <c r="Q32" s="17">
        <v>0</v>
      </c>
      <c r="R32" s="17">
        <v>0</v>
      </c>
      <c r="S32" s="17">
        <v>0</v>
      </c>
      <c r="T32" s="17">
        <v>0</v>
      </c>
      <c r="U32" s="17">
        <v>0</v>
      </c>
      <c r="V32" s="17"/>
      <c r="W32" s="17"/>
      <c r="X32" s="18" t="str">
        <f>IF(C32="","",IF(OR(Table9[[#This Row],[Outside/Broke (O/B)]]="O",Table9[[#This Row],[Outside/Broke (O/B)]]="B"),0,VLOOKUP((V32/MAlength*150),CanterScore,2,TRUE)))</f>
        <v/>
      </c>
      <c r="Y32" s="17"/>
      <c r="Z32" s="17"/>
      <c r="AA32" s="18" t="str">
        <f>IF(C32="","",IF(OR(Table9[[#This Row],[Outside/Broke (O/B)2]]="O",Table9[[#This Row],[Outside/Broke (O/B)2]]="B"),0,IF((Y32/MAlength*150)=0, 0,IF((Y32/MAlength*150)&lt;'MA calc'!$A$4, 15, VLOOKUP((Y32/MAlength*150),WalkScore,2,TRUE)))))</f>
        <v/>
      </c>
      <c r="AB32" s="17"/>
    </row>
    <row r="33" spans="1:28" s="35" customFormat="1" x14ac:dyDescent="0.3">
      <c r="A33" s="17"/>
      <c r="B33" s="17"/>
      <c r="C33" s="17"/>
      <c r="D33" s="17"/>
      <c r="E33" s="17"/>
      <c r="F33" s="17"/>
      <c r="G33" s="42" t="str">
        <f t="shared" si="0"/>
        <v/>
      </c>
      <c r="H33" s="52" t="str">
        <f>IF(Table9[[#This Row],[RIDER]]="","",IF((COUNTIF(J33, "E")), "E", (SUM(J33+I33))))</f>
        <v/>
      </c>
      <c r="I33" s="52" t="str">
        <f>IF(Table9[[#This Row],[RIDER]]="","",SUM(X33,AA33))</f>
        <v/>
      </c>
      <c r="J33" s="42" t="str">
        <f>IF(Table9[[#This Row],[RIDER]]="","",IF(COUNTIF(K33:T33, "E"), "E", (SUM(K33:T33)-U33)))</f>
        <v/>
      </c>
      <c r="K33" s="17">
        <v>0</v>
      </c>
      <c r="L33" s="17">
        <v>0</v>
      </c>
      <c r="M33" s="17">
        <v>0</v>
      </c>
      <c r="N33" s="17">
        <v>0</v>
      </c>
      <c r="O33" s="17">
        <v>0</v>
      </c>
      <c r="P33" s="17">
        <v>0</v>
      </c>
      <c r="Q33" s="17">
        <v>0</v>
      </c>
      <c r="R33" s="17">
        <v>0</v>
      </c>
      <c r="S33" s="17">
        <v>0</v>
      </c>
      <c r="T33" s="17">
        <v>0</v>
      </c>
      <c r="U33" s="17">
        <v>0</v>
      </c>
      <c r="V33" s="17"/>
      <c r="W33" s="17"/>
      <c r="X33" s="18" t="str">
        <f>IF(C33="","",IF(OR(Table9[[#This Row],[Outside/Broke (O/B)]]="O",Table9[[#This Row],[Outside/Broke (O/B)]]="B"),0,VLOOKUP((V33/MAlength*150),CanterScore,2,TRUE)))</f>
        <v/>
      </c>
      <c r="Y33" s="17"/>
      <c r="Z33" s="17"/>
      <c r="AA33" s="18" t="str">
        <f>IF(C33="","",IF(OR(Table9[[#This Row],[Outside/Broke (O/B)2]]="O",Table9[[#This Row],[Outside/Broke (O/B)2]]="B"),0,IF((Y33/MAlength*150)=0, 0,IF((Y33/MAlength*150)&lt;'MA calc'!$A$4, 15, VLOOKUP((Y33/MAlength*150),WalkScore,2,TRUE)))))</f>
        <v/>
      </c>
      <c r="AB33" s="17"/>
    </row>
    <row r="34" spans="1:28" s="35" customFormat="1" x14ac:dyDescent="0.3">
      <c r="A34" s="17"/>
      <c r="B34" s="17"/>
      <c r="C34" s="17"/>
      <c r="D34" s="17"/>
      <c r="E34" s="17"/>
      <c r="F34" s="17"/>
      <c r="G34" s="42" t="str">
        <f t="shared" si="0"/>
        <v/>
      </c>
      <c r="H34" s="52" t="str">
        <f>IF(Table9[[#This Row],[RIDER]]="","",IF((COUNTIF(J34, "E")), "E", (SUM(J34+I34))))</f>
        <v/>
      </c>
      <c r="I34" s="52" t="str">
        <f>IF(Table9[[#This Row],[RIDER]]="","",SUM(X34,AA34))</f>
        <v/>
      </c>
      <c r="J34" s="42" t="str">
        <f>IF(Table9[[#This Row],[RIDER]]="","",IF(COUNTIF(K34:T34, "E"), "E", (SUM(K34:T34)-U34)))</f>
        <v/>
      </c>
      <c r="K34" s="17">
        <v>0</v>
      </c>
      <c r="L34" s="17">
        <v>0</v>
      </c>
      <c r="M34" s="17">
        <v>0</v>
      </c>
      <c r="N34" s="17">
        <v>0</v>
      </c>
      <c r="O34" s="17">
        <v>0</v>
      </c>
      <c r="P34" s="17">
        <v>0</v>
      </c>
      <c r="Q34" s="17">
        <v>0</v>
      </c>
      <c r="R34" s="17">
        <v>0</v>
      </c>
      <c r="S34" s="17">
        <v>0</v>
      </c>
      <c r="T34" s="17">
        <v>0</v>
      </c>
      <c r="U34" s="17">
        <v>0</v>
      </c>
      <c r="V34" s="17"/>
      <c r="W34" s="17"/>
      <c r="X34" s="18" t="str">
        <f>IF(C34="","",IF(OR(Table9[[#This Row],[Outside/Broke (O/B)]]="O",Table9[[#This Row],[Outside/Broke (O/B)]]="B"),0,VLOOKUP((V34/MAlength*150),CanterScore,2,TRUE)))</f>
        <v/>
      </c>
      <c r="Y34" s="17"/>
      <c r="Z34" s="17"/>
      <c r="AA34" s="18" t="str">
        <f>IF(C34="","",IF(OR(Table9[[#This Row],[Outside/Broke (O/B)2]]="O",Table9[[#This Row],[Outside/Broke (O/B)2]]="B"),0,IF((Y34/MAlength*150)=0, 0,IF((Y34/MAlength*150)&lt;'MA calc'!$A$4, 15, VLOOKUP((Y34/MAlength*150),WalkScore,2,TRUE)))))</f>
        <v/>
      </c>
      <c r="AB34" s="17"/>
    </row>
    <row r="35" spans="1:28" s="35" customFormat="1" x14ac:dyDescent="0.3">
      <c r="A35" s="17"/>
      <c r="B35" s="17"/>
      <c r="C35" s="17"/>
      <c r="D35" s="17"/>
      <c r="E35" s="17"/>
      <c r="F35" s="17"/>
      <c r="G35" s="42" t="str">
        <f t="shared" si="0"/>
        <v/>
      </c>
      <c r="H35" s="52" t="str">
        <f>IF(Table9[[#This Row],[RIDER]]="","",IF((COUNTIF(J35, "E")), "E", (SUM(J35+I35))))</f>
        <v/>
      </c>
      <c r="I35" s="52" t="str">
        <f>IF(Table9[[#This Row],[RIDER]]="","",SUM(X35,AA35))</f>
        <v/>
      </c>
      <c r="J35" s="42" t="str">
        <f>IF(Table9[[#This Row],[RIDER]]="","",IF(COUNTIF(K35:T35, "E"), "E", (SUM(K35:T35)-U35)))</f>
        <v/>
      </c>
      <c r="K35" s="17">
        <v>0</v>
      </c>
      <c r="L35" s="17">
        <v>0</v>
      </c>
      <c r="M35" s="17">
        <v>0</v>
      </c>
      <c r="N35" s="17">
        <v>0</v>
      </c>
      <c r="O35" s="17">
        <v>0</v>
      </c>
      <c r="P35" s="17">
        <v>0</v>
      </c>
      <c r="Q35" s="17">
        <v>0</v>
      </c>
      <c r="R35" s="17">
        <v>0</v>
      </c>
      <c r="S35" s="17">
        <v>0</v>
      </c>
      <c r="T35" s="17">
        <v>0</v>
      </c>
      <c r="U35" s="17">
        <v>0</v>
      </c>
      <c r="V35" s="17"/>
      <c r="W35" s="17"/>
      <c r="X35" s="18" t="str">
        <f>IF(C35="","",IF(OR(Table9[[#This Row],[Outside/Broke (O/B)]]="O",Table9[[#This Row],[Outside/Broke (O/B)]]="B"),0,VLOOKUP((V35/MAlength*150),CanterScore,2,TRUE)))</f>
        <v/>
      </c>
      <c r="Y35" s="17"/>
      <c r="Z35" s="17"/>
      <c r="AA35" s="18" t="str">
        <f>IF(C35="","",IF(OR(Table9[[#This Row],[Outside/Broke (O/B)2]]="O",Table9[[#This Row],[Outside/Broke (O/B)2]]="B"),0,IF((Y35/MAlength*150)=0, 0,IF((Y35/MAlength*150)&lt;'MA calc'!$A$4, 15, VLOOKUP((Y35/MAlength*150),WalkScore,2,TRUE)))))</f>
        <v/>
      </c>
      <c r="AB35" s="17"/>
    </row>
  </sheetData>
  <mergeCells count="5">
    <mergeCell ref="D6:E6"/>
    <mergeCell ref="H6:I6"/>
    <mergeCell ref="K6:L6"/>
    <mergeCell ref="M6:T6"/>
    <mergeCell ref="D7:E7"/>
  </mergeCells>
  <phoneticPr fontId="26" type="noConversion"/>
  <conditionalFormatting sqref="K11:U35">
    <cfRule type="cellIs" dxfId="1" priority="1" operator="greaterThan">
      <formula>10</formula>
    </cfRule>
  </conditionalFormatting>
  <dataValidations count="3">
    <dataValidation type="list" allowBlank="1" showDropDown="1" showErrorMessage="1" errorTitle="Invalid entry" error="Please enter O or B only" sqref="W11:W35 Z11:Z35" xr:uid="{044AFD98-CAD0-4A4F-9D8E-562C0DC32329}">
      <formula1>"B,O"</formula1>
    </dataValidation>
    <dataValidation type="list" allowBlank="1" showDropDown="1" showErrorMessage="1" errorTitle="Invalid entry" error="Please enter Y or N only" sqref="E11:E35" xr:uid="{8DFD0A59-66AB-4AD4-990E-221C64E3475C}">
      <formula1>"N,Y"</formula1>
    </dataValidation>
    <dataValidation type="list" operator="lessThanOrEqual" allowBlank="1" showDropDown="1" showInputMessage="1" showErrorMessage="1" errorTitle="Invalid entry" error="The maximum score for each obstacle is 10. _x000a_Please enter a number between -5 and 20, or an E." sqref="K11:U35" xr:uid="{7D26EEDB-0DB6-4B46-84D0-43BDB9F94E35}">
      <formula1>"0,1,2,3,4,5,6,7,8,9,10,11,12,13,14,15,16,17,18,19,20,E,-1,-2,-3,-4,-5"</formula1>
    </dataValidation>
  </dataValidations>
  <printOptions horizontalCentered="1" verticalCentered="1"/>
  <pageMargins left="0.23622047244094491" right="0.23622047244094491" top="0.74803149606299213" bottom="0.74803149606299213" header="0.31496062992125984" footer="0.31496062992125984"/>
  <pageSetup paperSize="9" scale="53" orientation="landscape" r:id="rId1"/>
  <drawing r:id="rId2"/>
  <tableParts count="1">
    <tablePart r:id="rId3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8F0A4E-7D53-425E-890B-711FFB992FFE}">
  <sheetPr>
    <pageSetUpPr fitToPage="1"/>
  </sheetPr>
  <dimension ref="A1:AB35"/>
  <sheetViews>
    <sheetView topLeftCell="D10" zoomScale="75" zoomScaleNormal="75" workbookViewId="0">
      <selection activeCell="I20" sqref="I20"/>
    </sheetView>
  </sheetViews>
  <sheetFormatPr defaultColWidth="8.69921875" defaultRowHeight="14.4" x14ac:dyDescent="0.3"/>
  <cols>
    <col min="1" max="1" width="17.19921875" style="14" bestFit="1" customWidth="1"/>
    <col min="2" max="2" width="14.3984375" style="14" bestFit="1" customWidth="1"/>
    <col min="3" max="3" width="15.69921875" style="14" bestFit="1" customWidth="1"/>
    <col min="4" max="4" width="19.19921875" style="14" bestFit="1" customWidth="1"/>
    <col min="5" max="5" width="12.8984375" style="14" customWidth="1"/>
    <col min="6" max="6" width="21.19921875" style="14" customWidth="1"/>
    <col min="7" max="7" width="17.19921875" style="14" bestFit="1" customWidth="1"/>
    <col min="8" max="8" width="11.3984375" style="1" customWidth="1"/>
    <col min="9" max="9" width="10.5" style="1" customWidth="1"/>
    <col min="10" max="10" width="12.5" style="14" bestFit="1" customWidth="1"/>
    <col min="11" max="11" width="8.69921875" style="14" customWidth="1"/>
    <col min="12" max="12" width="8.5" style="14" customWidth="1"/>
    <col min="13" max="15" width="6.69921875" style="14" customWidth="1"/>
    <col min="16" max="16" width="7.19921875" style="14" customWidth="1"/>
    <col min="17" max="21" width="6.69921875" style="14" customWidth="1"/>
    <col min="22" max="23" width="9" style="14" customWidth="1"/>
    <col min="24" max="24" width="6.69921875" style="1" customWidth="1"/>
    <col min="25" max="25" width="9" style="14" customWidth="1"/>
    <col min="26" max="27" width="6.69921875" style="1" customWidth="1"/>
    <col min="28" max="28" width="4.5" style="14" hidden="1" customWidth="1"/>
    <col min="29" max="29" width="23.09765625" style="14" customWidth="1"/>
    <col min="30" max="30" width="3.3984375" style="14" customWidth="1"/>
    <col min="31" max="31" width="2.59765625" style="14" customWidth="1"/>
    <col min="32" max="32" width="2.5" style="14" customWidth="1"/>
    <col min="33" max="33" width="8.69921875" style="14"/>
    <col min="34" max="34" width="8.69921875" style="14" customWidth="1"/>
    <col min="35" max="16384" width="8.69921875" style="14"/>
  </cols>
  <sheetData>
    <row r="1" spans="1:28" ht="3" customHeight="1" x14ac:dyDescent="0.3"/>
    <row r="2" spans="1:28" ht="23.4" customHeight="1" x14ac:dyDescent="0.45">
      <c r="A2" s="23"/>
      <c r="B2" s="23"/>
      <c r="F2" s="7" t="s">
        <v>14</v>
      </c>
      <c r="T2" s="1"/>
      <c r="U2" s="1"/>
    </row>
    <row r="3" spans="1:28" ht="14.55" customHeight="1" x14ac:dyDescent="0.3">
      <c r="A3" s="23"/>
      <c r="B3" s="23"/>
      <c r="I3" s="2"/>
      <c r="W3" s="1"/>
      <c r="Y3" s="1"/>
    </row>
    <row r="4" spans="1:28" ht="15.6" x14ac:dyDescent="0.3">
      <c r="A4" s="23"/>
      <c r="B4" s="23"/>
      <c r="F4" s="3"/>
      <c r="I4" s="2"/>
      <c r="M4" s="3"/>
      <c r="Y4" s="1"/>
    </row>
    <row r="5" spans="1:28" ht="14.55" customHeight="1" x14ac:dyDescent="0.3">
      <c r="A5" s="23"/>
      <c r="B5" s="23"/>
      <c r="L5" s="32"/>
      <c r="M5" s="33"/>
      <c r="N5" s="33"/>
      <c r="Y5" s="1"/>
    </row>
    <row r="6" spans="1:28" s="4" customFormat="1" ht="21" x14ac:dyDescent="0.4">
      <c r="A6" s="23"/>
      <c r="B6" s="23"/>
      <c r="C6" s="15" t="s">
        <v>8</v>
      </c>
      <c r="D6" s="63" t="str">
        <f>'Print All Summary'!B6</f>
        <v>Avon Riding Centre</v>
      </c>
      <c r="E6" s="63"/>
      <c r="F6" s="14"/>
      <c r="G6" s="22" t="s">
        <v>9</v>
      </c>
      <c r="H6" s="65">
        <f>'Print All Summary'!F6</f>
        <v>46068</v>
      </c>
      <c r="I6" s="65"/>
      <c r="K6" s="66" t="s">
        <v>15</v>
      </c>
      <c r="L6" s="66"/>
      <c r="M6" s="63" t="str">
        <f>'Print All Summary'!B7</f>
        <v>Wessex TREC</v>
      </c>
      <c r="N6" s="63"/>
      <c r="O6" s="63"/>
      <c r="P6" s="63"/>
      <c r="Q6" s="63"/>
      <c r="R6" s="63"/>
      <c r="S6" s="63"/>
      <c r="T6" s="63"/>
      <c r="U6" s="14"/>
      <c r="X6" s="1"/>
      <c r="Y6" s="1"/>
      <c r="Z6" s="1"/>
      <c r="AA6" s="1"/>
    </row>
    <row r="7" spans="1:28" s="4" customFormat="1" ht="30" customHeight="1" x14ac:dyDescent="0.4">
      <c r="A7" s="23"/>
      <c r="B7" s="23"/>
      <c r="C7" s="15" t="s">
        <v>16</v>
      </c>
      <c r="D7" s="64" t="s">
        <v>51</v>
      </c>
      <c r="E7" s="64"/>
      <c r="F7" s="14"/>
      <c r="H7" s="5"/>
      <c r="I7" s="5"/>
      <c r="U7" s="14"/>
      <c r="X7" s="1"/>
      <c r="Y7" s="1"/>
      <c r="Z7" s="1"/>
      <c r="AA7" s="1"/>
    </row>
    <row r="8" spans="1:28" s="4" customFormat="1" ht="21" x14ac:dyDescent="0.4">
      <c r="A8" s="23"/>
      <c r="B8" s="23"/>
      <c r="C8" s="15"/>
      <c r="D8" s="15"/>
      <c r="E8" s="15"/>
      <c r="H8" s="5"/>
      <c r="I8" s="5"/>
      <c r="X8" s="5"/>
      <c r="Z8" s="5"/>
      <c r="AA8" s="5"/>
    </row>
    <row r="9" spans="1:28" ht="15.6" x14ac:dyDescent="0.3">
      <c r="F9" s="16"/>
      <c r="K9" s="16"/>
      <c r="L9" s="16"/>
      <c r="M9" s="16"/>
      <c r="N9" s="16"/>
      <c r="O9" s="16"/>
      <c r="P9" s="16"/>
      <c r="Q9" s="16"/>
    </row>
    <row r="10" spans="1:28" s="34" customFormat="1" ht="122.55" customHeight="1" x14ac:dyDescent="0.25">
      <c r="A10" s="28" t="s">
        <v>18</v>
      </c>
      <c r="B10" s="29" t="s">
        <v>19</v>
      </c>
      <c r="C10" s="19" t="s">
        <v>20</v>
      </c>
      <c r="D10" s="20" t="s">
        <v>21</v>
      </c>
      <c r="E10" s="20" t="s">
        <v>22</v>
      </c>
      <c r="F10" s="20" t="s">
        <v>23</v>
      </c>
      <c r="G10" s="21" t="s">
        <v>24</v>
      </c>
      <c r="H10" s="21" t="s">
        <v>25</v>
      </c>
      <c r="I10" s="21" t="s">
        <v>26</v>
      </c>
      <c r="J10" s="27" t="s">
        <v>45</v>
      </c>
      <c r="K10" s="26" t="s">
        <v>28</v>
      </c>
      <c r="L10" s="26" t="s">
        <v>29</v>
      </c>
      <c r="M10" s="26" t="s">
        <v>30</v>
      </c>
      <c r="N10" s="26" t="s">
        <v>31</v>
      </c>
      <c r="O10" s="26" t="s">
        <v>32</v>
      </c>
      <c r="P10" s="26" t="s">
        <v>33</v>
      </c>
      <c r="Q10" s="26" t="s">
        <v>34</v>
      </c>
      <c r="R10" s="26" t="s">
        <v>35</v>
      </c>
      <c r="S10" s="26" t="s">
        <v>36</v>
      </c>
      <c r="T10" s="26" t="s">
        <v>37</v>
      </c>
      <c r="U10" s="30" t="s">
        <v>56</v>
      </c>
      <c r="V10" s="24" t="s">
        <v>38</v>
      </c>
      <c r="W10" s="24" t="s">
        <v>39</v>
      </c>
      <c r="X10" s="25" t="s">
        <v>40</v>
      </c>
      <c r="Y10" s="24" t="s">
        <v>41</v>
      </c>
      <c r="Z10" s="24" t="s">
        <v>42</v>
      </c>
      <c r="AA10" s="25" t="s">
        <v>43</v>
      </c>
      <c r="AB10" s="39" t="s">
        <v>13</v>
      </c>
    </row>
    <row r="11" spans="1:28" s="35" customFormat="1" x14ac:dyDescent="0.3">
      <c r="A11" s="17"/>
      <c r="B11" s="17"/>
      <c r="C11" s="17"/>
      <c r="D11" s="17"/>
      <c r="E11" s="17"/>
      <c r="F11" s="17"/>
      <c r="G11" s="42" t="str">
        <f>IF(H11="E","E",(IF(C11="","",_xlfn.RANK.EQ($H11,$H$11:$H$35)+COUNTIFS($H$11:$H$35,$H11,$J$11:$J$35,"&gt;"&amp;$J11))))</f>
        <v/>
      </c>
      <c r="H11" s="52" t="str">
        <f>IF(Table10[[#This Row],[RIDER]]="","",IF((COUNTIF(J11, "E")), "E", (SUM(J11+I11))))</f>
        <v/>
      </c>
      <c r="I11" s="52" t="str">
        <f>IF(Table10[[#This Row],[RIDER]]="","",SUM(X11,AA11))</f>
        <v/>
      </c>
      <c r="J11" s="42" t="str">
        <f>IF(Table10[[#This Row],[RIDER]]="","",IF(COUNTIF(K11:T11, "E"), "E", (SUM(K11:T11)-U11)))</f>
        <v/>
      </c>
      <c r="K11" s="17">
        <v>0</v>
      </c>
      <c r="L11" s="17">
        <v>0</v>
      </c>
      <c r="M11" s="17">
        <v>0</v>
      </c>
      <c r="N11" s="17">
        <v>0</v>
      </c>
      <c r="O11" s="17">
        <v>0</v>
      </c>
      <c r="P11" s="17">
        <v>0</v>
      </c>
      <c r="Q11" s="17">
        <v>0</v>
      </c>
      <c r="R11" s="17">
        <v>0</v>
      </c>
      <c r="S11" s="17">
        <v>0</v>
      </c>
      <c r="T11" s="17">
        <v>0</v>
      </c>
      <c r="U11" s="17">
        <v>0</v>
      </c>
      <c r="V11" s="17"/>
      <c r="W11" s="17"/>
      <c r="X11" s="18" t="str">
        <f>IF(C11="","",IF(OR(Table10[[#This Row],[Outside/Broke (O/B)]]="O",Table10[[#This Row],[Outside/Broke (O/B)]]="B"),0,VLOOKUP((V11/MAlength*150),CanterScore,2,TRUE)))</f>
        <v/>
      </c>
      <c r="Y11" s="17"/>
      <c r="Z11" s="17"/>
      <c r="AA11" s="18" t="str">
        <f>IF(C11="","",IF(OR(Table10[[#This Row],[Outside/Broke (O/B)2]]="O",Table10[[#This Row],[Outside/Broke (O/B)2]]="B"),0,IF((Y11/MAlength*150)=0, 0,IF((Y11/MAlength*150)&lt;'MA calc'!$A$4, 15, VLOOKUP((Y11/MAlength*150),WalkScore,2,TRUE)))))</f>
        <v/>
      </c>
      <c r="AB11" s="17"/>
    </row>
    <row r="12" spans="1:28" s="35" customFormat="1" x14ac:dyDescent="0.3">
      <c r="A12" s="17"/>
      <c r="B12" s="17"/>
      <c r="C12" s="17"/>
      <c r="D12" s="17"/>
      <c r="E12" s="17"/>
      <c r="F12" s="17"/>
      <c r="G12" s="42" t="str">
        <f t="shared" ref="G12:G35" si="0">IF(H12="E","E",(IF(C12="","",_xlfn.RANK.EQ($H12,$H$11:$H$35)+COUNTIFS($H$11:$H$35,$H12,$J$11:$J$35,"&gt;"&amp;$J12))))</f>
        <v/>
      </c>
      <c r="H12" s="52" t="str">
        <f>IF(Table10[[#This Row],[RIDER]]="","",IF((COUNTIF(J12, "E")), "E", (SUM(J12+I12))))</f>
        <v/>
      </c>
      <c r="I12" s="52" t="str">
        <f>IF(Table10[[#This Row],[RIDER]]="","",SUM(X12,AA12))</f>
        <v/>
      </c>
      <c r="J12" s="42" t="str">
        <f>IF(Table10[[#This Row],[RIDER]]="","",IF(COUNTIF(K12:T12, "E"), "E", (SUM(K12:T12)-U12)))</f>
        <v/>
      </c>
      <c r="K12" s="17">
        <v>0</v>
      </c>
      <c r="L12" s="17">
        <v>0</v>
      </c>
      <c r="M12" s="17">
        <v>0</v>
      </c>
      <c r="N12" s="17">
        <v>0</v>
      </c>
      <c r="O12" s="17">
        <v>0</v>
      </c>
      <c r="P12" s="17">
        <v>0</v>
      </c>
      <c r="Q12" s="17">
        <v>0</v>
      </c>
      <c r="R12" s="17">
        <v>0</v>
      </c>
      <c r="S12" s="17">
        <v>0</v>
      </c>
      <c r="T12" s="17">
        <v>0</v>
      </c>
      <c r="U12" s="17">
        <v>0</v>
      </c>
      <c r="V12" s="17"/>
      <c r="W12" s="17"/>
      <c r="X12" s="18" t="str">
        <f>IF(C12="","",IF(OR(Table10[[#This Row],[Outside/Broke (O/B)]]="O",Table10[[#This Row],[Outside/Broke (O/B)]]="B"),0,VLOOKUP((V12/MAlength*150),CanterScore,2,TRUE)))</f>
        <v/>
      </c>
      <c r="Y12" s="17"/>
      <c r="Z12" s="17"/>
      <c r="AA12" s="18" t="str">
        <f>IF(C12="","",IF(OR(Table10[[#This Row],[Outside/Broke (O/B)2]]="O",Table10[[#This Row],[Outside/Broke (O/B)2]]="B"),0,IF((Y12/MAlength*150)=0, 0,IF((Y12/MAlength*150)&lt;'MA calc'!$A$4, 15, VLOOKUP((Y12/MAlength*150),WalkScore,2,TRUE)))))</f>
        <v/>
      </c>
      <c r="AB12" s="17"/>
    </row>
    <row r="13" spans="1:28" s="35" customFormat="1" x14ac:dyDescent="0.3">
      <c r="A13" s="17"/>
      <c r="B13" s="17"/>
      <c r="C13" s="17"/>
      <c r="D13" s="17"/>
      <c r="E13" s="17"/>
      <c r="F13" s="17"/>
      <c r="G13" s="42" t="str">
        <f t="shared" si="0"/>
        <v/>
      </c>
      <c r="H13" s="52" t="str">
        <f>IF(Table10[[#This Row],[RIDER]]="","",IF((COUNTIF(J13, "E")), "E", (SUM(J13+I13))))</f>
        <v/>
      </c>
      <c r="I13" s="52" t="str">
        <f>IF(Table10[[#This Row],[RIDER]]="","",SUM(X13,AA13))</f>
        <v/>
      </c>
      <c r="J13" s="42" t="str">
        <f>IF(Table10[[#This Row],[RIDER]]="","",IF(COUNTIF(K13:T13, "E"), "E", (SUM(K13:T13)-U13)))</f>
        <v/>
      </c>
      <c r="K13" s="17">
        <v>0</v>
      </c>
      <c r="L13" s="17">
        <v>0</v>
      </c>
      <c r="M13" s="17">
        <v>0</v>
      </c>
      <c r="N13" s="17">
        <v>0</v>
      </c>
      <c r="O13" s="17">
        <v>0</v>
      </c>
      <c r="P13" s="17">
        <v>0</v>
      </c>
      <c r="Q13" s="17">
        <v>0</v>
      </c>
      <c r="R13" s="17">
        <v>0</v>
      </c>
      <c r="S13" s="17">
        <v>0</v>
      </c>
      <c r="T13" s="17">
        <v>0</v>
      </c>
      <c r="U13" s="17">
        <v>0</v>
      </c>
      <c r="V13" s="17"/>
      <c r="W13" s="17"/>
      <c r="X13" s="18" t="str">
        <f>IF(C13="","",IF(OR(Table10[[#This Row],[Outside/Broke (O/B)]]="O",Table10[[#This Row],[Outside/Broke (O/B)]]="B"),0,VLOOKUP((V13/MAlength*150),CanterScore,2,TRUE)))</f>
        <v/>
      </c>
      <c r="Y13" s="17"/>
      <c r="Z13" s="17"/>
      <c r="AA13" s="18" t="str">
        <f>IF(C13="","",IF(OR(Table10[[#This Row],[Outside/Broke (O/B)2]]="O",Table10[[#This Row],[Outside/Broke (O/B)2]]="B"),0,IF((Y13/MAlength*150)=0, 0,IF((Y13/MAlength*150)&lt;'MA calc'!$A$4, 15, VLOOKUP((Y13/MAlength*150),WalkScore,2,TRUE)))))</f>
        <v/>
      </c>
      <c r="AB13" s="17"/>
    </row>
    <row r="14" spans="1:28" s="35" customFormat="1" x14ac:dyDescent="0.3">
      <c r="A14" s="17"/>
      <c r="B14" s="17"/>
      <c r="C14" s="17"/>
      <c r="D14" s="17"/>
      <c r="E14" s="17"/>
      <c r="F14" s="17"/>
      <c r="G14" s="42" t="str">
        <f t="shared" si="0"/>
        <v/>
      </c>
      <c r="H14" s="52" t="str">
        <f>IF(Table10[[#This Row],[RIDER]]="","",IF((COUNTIF(J14, "E")), "E", (SUM(J14+I14))))</f>
        <v/>
      </c>
      <c r="I14" s="52" t="str">
        <f>IF(Table10[[#This Row],[RIDER]]="","",SUM(X14,AA14))</f>
        <v/>
      </c>
      <c r="J14" s="42" t="str">
        <f>IF(Table10[[#This Row],[RIDER]]="","",IF(COUNTIF(K14:T14, "E"), "E", (SUM(K14:T14)-U14)))</f>
        <v/>
      </c>
      <c r="K14" s="17">
        <v>0</v>
      </c>
      <c r="L14" s="17">
        <v>0</v>
      </c>
      <c r="M14" s="17">
        <v>0</v>
      </c>
      <c r="N14" s="17">
        <v>0</v>
      </c>
      <c r="O14" s="17">
        <v>0</v>
      </c>
      <c r="P14" s="17">
        <v>0</v>
      </c>
      <c r="Q14" s="17">
        <v>0</v>
      </c>
      <c r="R14" s="17">
        <v>0</v>
      </c>
      <c r="S14" s="17">
        <v>0</v>
      </c>
      <c r="T14" s="17">
        <v>0</v>
      </c>
      <c r="U14" s="17">
        <v>0</v>
      </c>
      <c r="V14" s="17"/>
      <c r="W14" s="17"/>
      <c r="X14" s="18" t="str">
        <f>IF(C14="","",IF(OR(Table10[[#This Row],[Outside/Broke (O/B)]]="O",Table10[[#This Row],[Outside/Broke (O/B)]]="B"),0,VLOOKUP((V14/MAlength*150),CanterScore,2,TRUE)))</f>
        <v/>
      </c>
      <c r="Y14" s="17"/>
      <c r="Z14" s="17"/>
      <c r="AA14" s="18" t="str">
        <f>IF(C14="","",IF(OR(Table10[[#This Row],[Outside/Broke (O/B)2]]="O",Table10[[#This Row],[Outside/Broke (O/B)2]]="B"),0,IF((Y14/MAlength*150)=0, 0,IF((Y14/MAlength*150)&lt;'MA calc'!$A$4, 15, VLOOKUP((Y14/MAlength*150),WalkScore,2,TRUE)))))</f>
        <v/>
      </c>
      <c r="AB14" s="17"/>
    </row>
    <row r="15" spans="1:28" s="35" customFormat="1" x14ac:dyDescent="0.3">
      <c r="A15" s="17"/>
      <c r="B15" s="17"/>
      <c r="C15" s="17"/>
      <c r="D15" s="17"/>
      <c r="E15" s="17"/>
      <c r="F15" s="17"/>
      <c r="G15" s="42" t="str">
        <f t="shared" si="0"/>
        <v/>
      </c>
      <c r="H15" s="52" t="str">
        <f>IF(Table10[[#This Row],[RIDER]]="","",IF((COUNTIF(J15, "E")), "E", (SUM(J15+I15))))</f>
        <v/>
      </c>
      <c r="I15" s="52" t="str">
        <f>IF(Table10[[#This Row],[RIDER]]="","",SUM(X15,AA15))</f>
        <v/>
      </c>
      <c r="J15" s="42" t="str">
        <f>IF(Table10[[#This Row],[RIDER]]="","",IF(COUNTIF(K15:T15, "E"), "E", (SUM(K15:T15)-U15)))</f>
        <v/>
      </c>
      <c r="K15" s="17">
        <v>0</v>
      </c>
      <c r="L15" s="17">
        <v>0</v>
      </c>
      <c r="M15" s="17">
        <v>0</v>
      </c>
      <c r="N15" s="17">
        <v>0</v>
      </c>
      <c r="O15" s="17">
        <v>0</v>
      </c>
      <c r="P15" s="17">
        <v>0</v>
      </c>
      <c r="Q15" s="17">
        <v>0</v>
      </c>
      <c r="R15" s="17">
        <v>0</v>
      </c>
      <c r="S15" s="17">
        <v>0</v>
      </c>
      <c r="T15" s="17">
        <v>0</v>
      </c>
      <c r="U15" s="17">
        <v>0</v>
      </c>
      <c r="V15" s="17"/>
      <c r="W15" s="17"/>
      <c r="X15" s="18" t="str">
        <f>IF(C15="","",IF(OR(Table10[[#This Row],[Outside/Broke (O/B)]]="O",Table10[[#This Row],[Outside/Broke (O/B)]]="B"),0,VLOOKUP((V15/MAlength*150),CanterScore,2,TRUE)))</f>
        <v/>
      </c>
      <c r="Y15" s="17"/>
      <c r="Z15" s="17"/>
      <c r="AA15" s="18" t="str">
        <f>IF(C15="","",IF(OR(Table10[[#This Row],[Outside/Broke (O/B)2]]="O",Table10[[#This Row],[Outside/Broke (O/B)2]]="B"),0,IF((Y15/MAlength*150)=0, 0,IF((Y15/MAlength*150)&lt;'MA calc'!$A$4, 15, VLOOKUP((Y15/MAlength*150),WalkScore,2,TRUE)))))</f>
        <v/>
      </c>
      <c r="AB15" s="17"/>
    </row>
    <row r="16" spans="1:28" s="35" customFormat="1" x14ac:dyDescent="0.3">
      <c r="A16" s="17"/>
      <c r="B16" s="17"/>
      <c r="C16" s="17"/>
      <c r="D16" s="17"/>
      <c r="E16" s="17"/>
      <c r="F16" s="17"/>
      <c r="G16" s="42" t="str">
        <f t="shared" si="0"/>
        <v/>
      </c>
      <c r="H16" s="52" t="str">
        <f>IF(Table10[[#This Row],[RIDER]]="","",IF((COUNTIF(J16, "E")), "E", (SUM(J16+I16))))</f>
        <v/>
      </c>
      <c r="I16" s="52" t="str">
        <f>IF(Table10[[#This Row],[RIDER]]="","",SUM(X16,AA16))</f>
        <v/>
      </c>
      <c r="J16" s="42" t="str">
        <f>IF(Table10[[#This Row],[RIDER]]="","",IF(COUNTIF(K16:T16, "E"), "E", (SUM(K16:T16)-U16)))</f>
        <v/>
      </c>
      <c r="K16" s="17">
        <v>0</v>
      </c>
      <c r="L16" s="17">
        <v>0</v>
      </c>
      <c r="M16" s="17">
        <v>0</v>
      </c>
      <c r="N16" s="17">
        <v>0</v>
      </c>
      <c r="O16" s="17">
        <v>0</v>
      </c>
      <c r="P16" s="17">
        <v>0</v>
      </c>
      <c r="Q16" s="17">
        <v>0</v>
      </c>
      <c r="R16" s="17">
        <v>0</v>
      </c>
      <c r="S16" s="17">
        <v>0</v>
      </c>
      <c r="T16" s="17">
        <v>0</v>
      </c>
      <c r="U16" s="17">
        <v>0</v>
      </c>
      <c r="V16" s="17"/>
      <c r="W16" s="17"/>
      <c r="X16" s="18" t="str">
        <f>IF(C16="","",IF(OR(Table10[[#This Row],[Outside/Broke (O/B)]]="O",Table10[[#This Row],[Outside/Broke (O/B)]]="B"),0,VLOOKUP((V16/MAlength*150),CanterScore,2,TRUE)))</f>
        <v/>
      </c>
      <c r="Y16" s="17"/>
      <c r="Z16" s="17"/>
      <c r="AA16" s="18" t="str">
        <f>IF(C16="","",IF(OR(Table10[[#This Row],[Outside/Broke (O/B)2]]="O",Table10[[#This Row],[Outside/Broke (O/B)2]]="B"),0,IF((Y16/MAlength*150)=0, 0,IF((Y16/MAlength*150)&lt;'MA calc'!$A$4, 15, VLOOKUP((Y16/MAlength*150),WalkScore,2,TRUE)))))</f>
        <v/>
      </c>
      <c r="AB16" s="17"/>
    </row>
    <row r="17" spans="1:28" s="35" customFormat="1" x14ac:dyDescent="0.3">
      <c r="A17" s="17"/>
      <c r="B17" s="17"/>
      <c r="C17" s="17"/>
      <c r="D17" s="17"/>
      <c r="E17" s="17"/>
      <c r="F17" s="17"/>
      <c r="G17" s="42" t="str">
        <f t="shared" si="0"/>
        <v/>
      </c>
      <c r="H17" s="52" t="str">
        <f>IF(Table10[[#This Row],[RIDER]]="","",IF((COUNTIF(J17, "E")), "E", (SUM(J17+I17))))</f>
        <v/>
      </c>
      <c r="I17" s="52" t="str">
        <f>IF(Table10[[#This Row],[RIDER]]="","",SUM(X17,AA17))</f>
        <v/>
      </c>
      <c r="J17" s="42" t="str">
        <f>IF(Table10[[#This Row],[RIDER]]="","",IF(COUNTIF(K17:T17, "E"), "E", (SUM(K17:T17)-U17)))</f>
        <v/>
      </c>
      <c r="K17" s="17">
        <v>0</v>
      </c>
      <c r="L17" s="17">
        <v>0</v>
      </c>
      <c r="M17" s="17">
        <v>0</v>
      </c>
      <c r="N17" s="17">
        <v>0</v>
      </c>
      <c r="O17" s="17">
        <v>0</v>
      </c>
      <c r="P17" s="17">
        <v>0</v>
      </c>
      <c r="Q17" s="17">
        <v>0</v>
      </c>
      <c r="R17" s="17">
        <v>0</v>
      </c>
      <c r="S17" s="17">
        <v>0</v>
      </c>
      <c r="T17" s="17">
        <v>0</v>
      </c>
      <c r="U17" s="17">
        <v>0</v>
      </c>
      <c r="V17" s="17"/>
      <c r="W17" s="17"/>
      <c r="X17" s="18" t="str">
        <f>IF(C17="","",IF(OR(Table10[[#This Row],[Outside/Broke (O/B)]]="O",Table10[[#This Row],[Outside/Broke (O/B)]]="B"),0,VLOOKUP((V17/MAlength*150),CanterScore,2,TRUE)))</f>
        <v/>
      </c>
      <c r="Y17" s="17"/>
      <c r="Z17" s="17"/>
      <c r="AA17" s="18" t="str">
        <f>IF(C17="","",IF(OR(Table10[[#This Row],[Outside/Broke (O/B)2]]="O",Table10[[#This Row],[Outside/Broke (O/B)2]]="B"),0,IF((Y17/MAlength*150)=0, 0,IF((Y17/MAlength*150)&lt;'MA calc'!$A$4, 15, VLOOKUP((Y17/MAlength*150),WalkScore,2,TRUE)))))</f>
        <v/>
      </c>
      <c r="AB17" s="17"/>
    </row>
    <row r="18" spans="1:28" s="35" customFormat="1" x14ac:dyDescent="0.3">
      <c r="A18" s="17"/>
      <c r="B18" s="17"/>
      <c r="C18" s="17"/>
      <c r="D18" s="17"/>
      <c r="E18" s="17"/>
      <c r="F18" s="17"/>
      <c r="G18" s="42" t="str">
        <f t="shared" si="0"/>
        <v/>
      </c>
      <c r="H18" s="52" t="str">
        <f>IF(Table10[[#This Row],[RIDER]]="","",IF((COUNTIF(J18, "E")), "E", (SUM(J18+I18))))</f>
        <v/>
      </c>
      <c r="I18" s="52" t="str">
        <f>IF(Table10[[#This Row],[RIDER]]="","",SUM(X18,AA18))</f>
        <v/>
      </c>
      <c r="J18" s="42" t="str">
        <f>IF(Table10[[#This Row],[RIDER]]="","",IF(COUNTIF(K18:T18, "E"), "E", (SUM(K18:T18)-U18)))</f>
        <v/>
      </c>
      <c r="K18" s="17">
        <v>0</v>
      </c>
      <c r="L18" s="17">
        <v>0</v>
      </c>
      <c r="M18" s="17">
        <v>0</v>
      </c>
      <c r="N18" s="17">
        <v>0</v>
      </c>
      <c r="O18" s="17">
        <v>0</v>
      </c>
      <c r="P18" s="17">
        <v>0</v>
      </c>
      <c r="Q18" s="17">
        <v>0</v>
      </c>
      <c r="R18" s="17">
        <v>0</v>
      </c>
      <c r="S18" s="17">
        <v>0</v>
      </c>
      <c r="T18" s="17">
        <v>0</v>
      </c>
      <c r="U18" s="17">
        <v>0</v>
      </c>
      <c r="V18" s="17"/>
      <c r="W18" s="17"/>
      <c r="X18" s="18" t="str">
        <f>IF(C18="","",IF(OR(Table10[[#This Row],[Outside/Broke (O/B)]]="O",Table10[[#This Row],[Outside/Broke (O/B)]]="B"),0,VLOOKUP((V18/MAlength*150),CanterScore,2,TRUE)))</f>
        <v/>
      </c>
      <c r="Y18" s="17"/>
      <c r="Z18" s="17"/>
      <c r="AA18" s="18" t="str">
        <f>IF(C18="","",IF(OR(Table10[[#This Row],[Outside/Broke (O/B)2]]="O",Table10[[#This Row],[Outside/Broke (O/B)2]]="B"),0,IF((Y18/MAlength*150)=0, 0,IF((Y18/MAlength*150)&lt;'MA calc'!$A$4, 15, VLOOKUP((Y18/MAlength*150),WalkScore,2,TRUE)))))</f>
        <v/>
      </c>
      <c r="AB18" s="17"/>
    </row>
    <row r="19" spans="1:28" s="35" customFormat="1" x14ac:dyDescent="0.3">
      <c r="A19" s="17"/>
      <c r="B19" s="17"/>
      <c r="C19" s="17"/>
      <c r="D19" s="17"/>
      <c r="E19" s="17"/>
      <c r="F19" s="17"/>
      <c r="G19" s="42" t="str">
        <f t="shared" si="0"/>
        <v/>
      </c>
      <c r="H19" s="52" t="str">
        <f>IF(Table10[[#This Row],[RIDER]]="","",IF((COUNTIF(J19, "E")), "E", (SUM(J19+I19))))</f>
        <v/>
      </c>
      <c r="I19" s="52" t="str">
        <f>IF(Table10[[#This Row],[RIDER]]="","",SUM(X19,AA19))</f>
        <v/>
      </c>
      <c r="J19" s="42" t="str">
        <f>IF(Table10[[#This Row],[RIDER]]="","",IF(COUNTIF(K19:T19, "E"), "E", (SUM(K19:T19)-U19)))</f>
        <v/>
      </c>
      <c r="K19" s="17">
        <v>0</v>
      </c>
      <c r="L19" s="17">
        <v>0</v>
      </c>
      <c r="M19" s="17">
        <v>0</v>
      </c>
      <c r="N19" s="17">
        <v>0</v>
      </c>
      <c r="O19" s="17">
        <v>0</v>
      </c>
      <c r="P19" s="17">
        <v>0</v>
      </c>
      <c r="Q19" s="17">
        <v>0</v>
      </c>
      <c r="R19" s="17">
        <v>0</v>
      </c>
      <c r="S19" s="17">
        <v>0</v>
      </c>
      <c r="T19" s="17">
        <v>0</v>
      </c>
      <c r="U19" s="17">
        <v>0</v>
      </c>
      <c r="V19" s="17"/>
      <c r="W19" s="17"/>
      <c r="X19" s="18" t="str">
        <f>IF(C19="","",IF(OR(Table10[[#This Row],[Outside/Broke (O/B)]]="O",Table10[[#This Row],[Outside/Broke (O/B)]]="B"),0,VLOOKUP((V19/MAlength*150),CanterScore,2,TRUE)))</f>
        <v/>
      </c>
      <c r="Y19" s="17"/>
      <c r="Z19" s="17"/>
      <c r="AA19" s="18" t="str">
        <f>IF(C19="","",IF(OR(Table10[[#This Row],[Outside/Broke (O/B)2]]="O",Table10[[#This Row],[Outside/Broke (O/B)2]]="B"),0,IF((Y19/MAlength*150)=0, 0,IF((Y19/MAlength*150)&lt;'MA calc'!$A$4, 15, VLOOKUP((Y19/MAlength*150),WalkScore,2,TRUE)))))</f>
        <v/>
      </c>
      <c r="AB19" s="17"/>
    </row>
    <row r="20" spans="1:28" s="35" customFormat="1" x14ac:dyDescent="0.3">
      <c r="A20" s="17"/>
      <c r="B20" s="17"/>
      <c r="C20" s="17"/>
      <c r="D20" s="17"/>
      <c r="E20" s="17"/>
      <c r="F20" s="17"/>
      <c r="G20" s="42" t="str">
        <f t="shared" si="0"/>
        <v/>
      </c>
      <c r="H20" s="52" t="str">
        <f>IF(Table10[[#This Row],[RIDER]]="","",IF((COUNTIF(J20, "E")), "E", (SUM(J20+I20))))</f>
        <v/>
      </c>
      <c r="I20" s="52" t="str">
        <f>IF(Table10[[#This Row],[RIDER]]="","",SUM(X20,AA20))</f>
        <v/>
      </c>
      <c r="J20" s="42" t="str">
        <f>IF(Table10[[#This Row],[RIDER]]="","",IF(COUNTIF(K20:T20, "E"), "E", (SUM(K20:T20)-U20)))</f>
        <v/>
      </c>
      <c r="K20" s="17">
        <v>0</v>
      </c>
      <c r="L20" s="17">
        <v>0</v>
      </c>
      <c r="M20" s="17">
        <v>0</v>
      </c>
      <c r="N20" s="17">
        <v>0</v>
      </c>
      <c r="O20" s="17">
        <v>0</v>
      </c>
      <c r="P20" s="17">
        <v>0</v>
      </c>
      <c r="Q20" s="17">
        <v>0</v>
      </c>
      <c r="R20" s="17">
        <v>0</v>
      </c>
      <c r="S20" s="17">
        <v>0</v>
      </c>
      <c r="T20" s="17">
        <v>0</v>
      </c>
      <c r="U20" s="17">
        <v>0</v>
      </c>
      <c r="V20" s="17"/>
      <c r="W20" s="17"/>
      <c r="X20" s="18" t="str">
        <f>IF(C20="","",IF(OR(Table10[[#This Row],[Outside/Broke (O/B)]]="O",Table10[[#This Row],[Outside/Broke (O/B)]]="B"),0,VLOOKUP((V20/MAlength*150),CanterScore,2,TRUE)))</f>
        <v/>
      </c>
      <c r="Y20" s="17"/>
      <c r="Z20" s="17"/>
      <c r="AA20" s="18" t="str">
        <f>IF(C20="","",IF(OR(Table10[[#This Row],[Outside/Broke (O/B)2]]="O",Table10[[#This Row],[Outside/Broke (O/B)2]]="B"),0,IF((Y20/MAlength*150)=0, 0,IF((Y20/MAlength*150)&lt;'MA calc'!$A$4, 15, VLOOKUP((Y20/MAlength*150),WalkScore,2,TRUE)))))</f>
        <v/>
      </c>
      <c r="AB20" s="17"/>
    </row>
    <row r="21" spans="1:28" s="35" customFormat="1" x14ac:dyDescent="0.3">
      <c r="A21" s="17"/>
      <c r="B21" s="17"/>
      <c r="C21" s="17"/>
      <c r="D21" s="17"/>
      <c r="E21" s="17"/>
      <c r="F21" s="17"/>
      <c r="G21" s="42" t="str">
        <f t="shared" si="0"/>
        <v/>
      </c>
      <c r="H21" s="52" t="str">
        <f>IF(Table10[[#This Row],[RIDER]]="","",IF((COUNTIF(J21, "E")), "E", (SUM(J21+I21))))</f>
        <v/>
      </c>
      <c r="I21" s="52" t="str">
        <f>IF(Table10[[#This Row],[RIDER]]="","",SUM(X21,AA21))</f>
        <v/>
      </c>
      <c r="J21" s="42" t="str">
        <f>IF(Table10[[#This Row],[RIDER]]="","",IF(COUNTIF(K21:T21, "E"), "E", (SUM(K21:T21)-U21)))</f>
        <v/>
      </c>
      <c r="K21" s="17">
        <v>0</v>
      </c>
      <c r="L21" s="17">
        <v>0</v>
      </c>
      <c r="M21" s="17">
        <v>0</v>
      </c>
      <c r="N21" s="17">
        <v>0</v>
      </c>
      <c r="O21" s="17">
        <v>0</v>
      </c>
      <c r="P21" s="17">
        <v>0</v>
      </c>
      <c r="Q21" s="17">
        <v>0</v>
      </c>
      <c r="R21" s="17">
        <v>0</v>
      </c>
      <c r="S21" s="17">
        <v>0</v>
      </c>
      <c r="T21" s="17">
        <v>0</v>
      </c>
      <c r="U21" s="17">
        <v>0</v>
      </c>
      <c r="V21" s="17"/>
      <c r="W21" s="17"/>
      <c r="X21" s="18" t="str">
        <f>IF(C21="","",IF(OR(Table10[[#This Row],[Outside/Broke (O/B)]]="O",Table10[[#This Row],[Outside/Broke (O/B)]]="B"),0,VLOOKUP((V21/MAlength*150),CanterScore,2,TRUE)))</f>
        <v/>
      </c>
      <c r="Y21" s="17"/>
      <c r="Z21" s="17"/>
      <c r="AA21" s="18" t="str">
        <f>IF(C21="","",IF(OR(Table10[[#This Row],[Outside/Broke (O/B)2]]="O",Table10[[#This Row],[Outside/Broke (O/B)2]]="B"),0,IF((Y21/MAlength*150)=0, 0,IF((Y21/MAlength*150)&lt;'MA calc'!$A$4, 15, VLOOKUP((Y21/MAlength*150),WalkScore,2,TRUE)))))</f>
        <v/>
      </c>
      <c r="AB21" s="17"/>
    </row>
    <row r="22" spans="1:28" s="35" customFormat="1" x14ac:dyDescent="0.3">
      <c r="A22" s="17"/>
      <c r="B22" s="17"/>
      <c r="C22" s="17"/>
      <c r="D22" s="17"/>
      <c r="E22" s="17"/>
      <c r="F22" s="17"/>
      <c r="G22" s="42" t="str">
        <f t="shared" si="0"/>
        <v/>
      </c>
      <c r="H22" s="52" t="str">
        <f>IF(Table10[[#This Row],[RIDER]]="","",IF((COUNTIF(J22, "E")), "E", (SUM(J22+I22))))</f>
        <v/>
      </c>
      <c r="I22" s="52" t="str">
        <f>IF(Table10[[#This Row],[RIDER]]="","",SUM(X22,AA22))</f>
        <v/>
      </c>
      <c r="J22" s="42" t="str">
        <f>IF(Table10[[#This Row],[RIDER]]="","",IF(COUNTIF(K22:T22, "E"), "E", (SUM(K22:T22)-U22)))</f>
        <v/>
      </c>
      <c r="K22" s="17">
        <v>0</v>
      </c>
      <c r="L22" s="17">
        <v>0</v>
      </c>
      <c r="M22" s="17">
        <v>0</v>
      </c>
      <c r="N22" s="17">
        <v>0</v>
      </c>
      <c r="O22" s="17">
        <v>0</v>
      </c>
      <c r="P22" s="17">
        <v>0</v>
      </c>
      <c r="Q22" s="17">
        <v>0</v>
      </c>
      <c r="R22" s="17">
        <v>0</v>
      </c>
      <c r="S22" s="17">
        <v>0</v>
      </c>
      <c r="T22" s="17">
        <v>0</v>
      </c>
      <c r="U22" s="17">
        <v>0</v>
      </c>
      <c r="V22" s="17"/>
      <c r="W22" s="17"/>
      <c r="X22" s="18" t="str">
        <f>IF(C22="","",IF(OR(Table10[[#This Row],[Outside/Broke (O/B)]]="O",Table10[[#This Row],[Outside/Broke (O/B)]]="B"),0,VLOOKUP((V22/MAlength*150),CanterScore,2,TRUE)))</f>
        <v/>
      </c>
      <c r="Y22" s="17"/>
      <c r="Z22" s="17"/>
      <c r="AA22" s="18" t="str">
        <f>IF(C22="","",IF(OR(Table10[[#This Row],[Outside/Broke (O/B)2]]="O",Table10[[#This Row],[Outside/Broke (O/B)2]]="B"),0,IF((Y22/MAlength*150)=0, 0,IF((Y22/MAlength*150)&lt;'MA calc'!$A$4, 15, VLOOKUP((Y22/MAlength*150),WalkScore,2,TRUE)))))</f>
        <v/>
      </c>
      <c r="AB22" s="17"/>
    </row>
    <row r="23" spans="1:28" s="35" customFormat="1" x14ac:dyDescent="0.3">
      <c r="A23" s="17"/>
      <c r="B23" s="17"/>
      <c r="C23" s="17"/>
      <c r="D23" s="17"/>
      <c r="E23" s="17"/>
      <c r="F23" s="17"/>
      <c r="G23" s="42" t="str">
        <f t="shared" si="0"/>
        <v/>
      </c>
      <c r="H23" s="52" t="str">
        <f>IF(Table10[[#This Row],[RIDER]]="","",IF((COUNTIF(J23, "E")), "E", (SUM(J23+I23))))</f>
        <v/>
      </c>
      <c r="I23" s="52" t="str">
        <f>IF(Table10[[#This Row],[RIDER]]="","",SUM(X23,AA23))</f>
        <v/>
      </c>
      <c r="J23" s="42" t="str">
        <f>IF(Table10[[#This Row],[RIDER]]="","",IF(COUNTIF(K23:T23, "E"), "E", (SUM(K23:T23)-U23)))</f>
        <v/>
      </c>
      <c r="K23" s="17">
        <v>0</v>
      </c>
      <c r="L23" s="17">
        <v>0</v>
      </c>
      <c r="M23" s="17">
        <v>0</v>
      </c>
      <c r="N23" s="17">
        <v>0</v>
      </c>
      <c r="O23" s="17">
        <v>0</v>
      </c>
      <c r="P23" s="17">
        <v>0</v>
      </c>
      <c r="Q23" s="17">
        <v>0</v>
      </c>
      <c r="R23" s="17">
        <v>0</v>
      </c>
      <c r="S23" s="17">
        <v>0</v>
      </c>
      <c r="T23" s="17">
        <v>0</v>
      </c>
      <c r="U23" s="17">
        <v>0</v>
      </c>
      <c r="V23" s="17"/>
      <c r="W23" s="17"/>
      <c r="X23" s="18" t="str">
        <f>IF(C23="","",IF(OR(Table10[[#This Row],[Outside/Broke (O/B)]]="O",Table10[[#This Row],[Outside/Broke (O/B)]]="B"),0,VLOOKUP((V23/MAlength*150),CanterScore,2,TRUE)))</f>
        <v/>
      </c>
      <c r="Y23" s="17"/>
      <c r="Z23" s="17"/>
      <c r="AA23" s="18" t="str">
        <f>IF(C23="","",IF(OR(Table10[[#This Row],[Outside/Broke (O/B)2]]="O",Table10[[#This Row],[Outside/Broke (O/B)2]]="B"),0,IF((Y23/MAlength*150)=0, 0,IF((Y23/MAlength*150)&lt;'MA calc'!$A$4, 15, VLOOKUP((Y23/MAlength*150),WalkScore,2,TRUE)))))</f>
        <v/>
      </c>
      <c r="AB23" s="17"/>
    </row>
    <row r="24" spans="1:28" s="35" customFormat="1" x14ac:dyDescent="0.3">
      <c r="A24" s="17"/>
      <c r="B24" s="17"/>
      <c r="C24" s="17"/>
      <c r="D24" s="17"/>
      <c r="E24" s="17"/>
      <c r="F24" s="17"/>
      <c r="G24" s="42" t="str">
        <f t="shared" si="0"/>
        <v/>
      </c>
      <c r="H24" s="52" t="str">
        <f>IF(Table10[[#This Row],[RIDER]]="","",IF((COUNTIF(J24, "E")), "E", (SUM(J24+I24))))</f>
        <v/>
      </c>
      <c r="I24" s="52" t="str">
        <f>IF(Table10[[#This Row],[RIDER]]="","",SUM(X24,AA24))</f>
        <v/>
      </c>
      <c r="J24" s="42" t="str">
        <f>IF(Table10[[#This Row],[RIDER]]="","",IF(COUNTIF(K24:T24, "E"), "E", (SUM(K24:T24)-U24)))</f>
        <v/>
      </c>
      <c r="K24" s="17">
        <v>0</v>
      </c>
      <c r="L24" s="17">
        <v>0</v>
      </c>
      <c r="M24" s="17">
        <v>0</v>
      </c>
      <c r="N24" s="17">
        <v>0</v>
      </c>
      <c r="O24" s="17">
        <v>0</v>
      </c>
      <c r="P24" s="17">
        <v>0</v>
      </c>
      <c r="Q24" s="17">
        <v>0</v>
      </c>
      <c r="R24" s="17">
        <v>0</v>
      </c>
      <c r="S24" s="17">
        <v>0</v>
      </c>
      <c r="T24" s="17">
        <v>0</v>
      </c>
      <c r="U24" s="17">
        <v>0</v>
      </c>
      <c r="V24" s="17"/>
      <c r="W24" s="17"/>
      <c r="X24" s="18" t="str">
        <f>IF(C24="","",IF(OR(Table10[[#This Row],[Outside/Broke (O/B)]]="O",Table10[[#This Row],[Outside/Broke (O/B)]]="B"),0,VLOOKUP((V24/MAlength*150),CanterScore,2,TRUE)))</f>
        <v/>
      </c>
      <c r="Y24" s="17"/>
      <c r="Z24" s="17"/>
      <c r="AA24" s="18" t="str">
        <f>IF(C24="","",IF(OR(Table10[[#This Row],[Outside/Broke (O/B)2]]="O",Table10[[#This Row],[Outside/Broke (O/B)2]]="B"),0,IF((Y24/MAlength*150)=0, 0,IF((Y24/MAlength*150)&lt;'MA calc'!$A$4, 15, VLOOKUP((Y24/MAlength*150),WalkScore,2,TRUE)))))</f>
        <v/>
      </c>
      <c r="AB24" s="17"/>
    </row>
    <row r="25" spans="1:28" s="35" customFormat="1" x14ac:dyDescent="0.3">
      <c r="A25" s="17"/>
      <c r="B25" s="17"/>
      <c r="C25" s="17"/>
      <c r="D25" s="17"/>
      <c r="E25" s="17"/>
      <c r="F25" s="17"/>
      <c r="G25" s="42" t="str">
        <f t="shared" si="0"/>
        <v/>
      </c>
      <c r="H25" s="52" t="str">
        <f>IF(Table10[[#This Row],[RIDER]]="","",IF((COUNTIF(J25, "E")), "E", (SUM(J25+I25))))</f>
        <v/>
      </c>
      <c r="I25" s="52" t="str">
        <f>IF(Table10[[#This Row],[RIDER]]="","",SUM(X25,AA25))</f>
        <v/>
      </c>
      <c r="J25" s="42" t="str">
        <f>IF(Table10[[#This Row],[RIDER]]="","",IF(COUNTIF(K25:T25, "E"), "E", (SUM(K25:T25)-U25)))</f>
        <v/>
      </c>
      <c r="K25" s="17">
        <v>0</v>
      </c>
      <c r="L25" s="17">
        <v>0</v>
      </c>
      <c r="M25" s="17">
        <v>0</v>
      </c>
      <c r="N25" s="17">
        <v>0</v>
      </c>
      <c r="O25" s="17">
        <v>0</v>
      </c>
      <c r="P25" s="17">
        <v>0</v>
      </c>
      <c r="Q25" s="17">
        <v>0</v>
      </c>
      <c r="R25" s="17">
        <v>0</v>
      </c>
      <c r="S25" s="17">
        <v>0</v>
      </c>
      <c r="T25" s="17">
        <v>0</v>
      </c>
      <c r="U25" s="17">
        <v>0</v>
      </c>
      <c r="V25" s="17"/>
      <c r="W25" s="17"/>
      <c r="X25" s="18" t="str">
        <f>IF(C25="","",IF(OR(Table10[[#This Row],[Outside/Broke (O/B)]]="O",Table10[[#This Row],[Outside/Broke (O/B)]]="B"),0,VLOOKUP((V25/MAlength*150),CanterScore,2,TRUE)))</f>
        <v/>
      </c>
      <c r="Y25" s="17"/>
      <c r="Z25" s="17"/>
      <c r="AA25" s="18" t="str">
        <f>IF(C25="","",IF(OR(Table10[[#This Row],[Outside/Broke (O/B)2]]="O",Table10[[#This Row],[Outside/Broke (O/B)2]]="B"),0,IF((Y25/MAlength*150)=0, 0,IF((Y25/MAlength*150)&lt;'MA calc'!$A$4, 15, VLOOKUP((Y25/MAlength*150),WalkScore,2,TRUE)))))</f>
        <v/>
      </c>
      <c r="AB25" s="17"/>
    </row>
    <row r="26" spans="1:28" s="35" customFormat="1" x14ac:dyDescent="0.3">
      <c r="A26" s="17"/>
      <c r="B26" s="17"/>
      <c r="C26" s="17"/>
      <c r="D26" s="17"/>
      <c r="E26" s="17"/>
      <c r="F26" s="17"/>
      <c r="G26" s="42" t="str">
        <f t="shared" si="0"/>
        <v/>
      </c>
      <c r="H26" s="52" t="str">
        <f>IF(Table10[[#This Row],[RIDER]]="","",IF((COUNTIF(J26, "E")), "E", (SUM(J26+I26))))</f>
        <v/>
      </c>
      <c r="I26" s="52" t="str">
        <f>IF(Table10[[#This Row],[RIDER]]="","",SUM(X26,AA26))</f>
        <v/>
      </c>
      <c r="J26" s="42" t="str">
        <f>IF(Table10[[#This Row],[RIDER]]="","",IF(COUNTIF(K26:T26, "E"), "E", (SUM(K26:T26)-U26)))</f>
        <v/>
      </c>
      <c r="K26" s="17">
        <v>0</v>
      </c>
      <c r="L26" s="17">
        <v>0</v>
      </c>
      <c r="M26" s="17">
        <v>0</v>
      </c>
      <c r="N26" s="17">
        <v>0</v>
      </c>
      <c r="O26" s="17">
        <v>0</v>
      </c>
      <c r="P26" s="17">
        <v>0</v>
      </c>
      <c r="Q26" s="17">
        <v>0</v>
      </c>
      <c r="R26" s="17">
        <v>0</v>
      </c>
      <c r="S26" s="17">
        <v>0</v>
      </c>
      <c r="T26" s="17">
        <v>0</v>
      </c>
      <c r="U26" s="17">
        <v>0</v>
      </c>
      <c r="V26" s="17"/>
      <c r="W26" s="17"/>
      <c r="X26" s="18" t="str">
        <f>IF(C26="","",IF(OR(Table10[[#This Row],[Outside/Broke (O/B)]]="O",Table10[[#This Row],[Outside/Broke (O/B)]]="B"),0,VLOOKUP((V26/MAlength*150),CanterScore,2,TRUE)))</f>
        <v/>
      </c>
      <c r="Y26" s="17"/>
      <c r="Z26" s="17"/>
      <c r="AA26" s="18" t="str">
        <f>IF(C26="","",IF(OR(Table10[[#This Row],[Outside/Broke (O/B)2]]="O",Table10[[#This Row],[Outside/Broke (O/B)2]]="B"),0,IF((Y26/MAlength*150)=0, 0,IF((Y26/MAlength*150)&lt;'MA calc'!$A$4, 15, VLOOKUP((Y26/MAlength*150),WalkScore,2,TRUE)))))</f>
        <v/>
      </c>
      <c r="AB26" s="17"/>
    </row>
    <row r="27" spans="1:28" s="35" customFormat="1" x14ac:dyDescent="0.3">
      <c r="A27" s="17"/>
      <c r="B27" s="17"/>
      <c r="C27" s="17"/>
      <c r="D27" s="17"/>
      <c r="E27" s="17"/>
      <c r="F27" s="17"/>
      <c r="G27" s="42" t="str">
        <f t="shared" si="0"/>
        <v/>
      </c>
      <c r="H27" s="52" t="str">
        <f>IF(Table10[[#This Row],[RIDER]]="","",IF((COUNTIF(J27, "E")), "E", (SUM(J27+I27))))</f>
        <v/>
      </c>
      <c r="I27" s="52" t="str">
        <f>IF(Table10[[#This Row],[RIDER]]="","",SUM(X27,AA27))</f>
        <v/>
      </c>
      <c r="J27" s="42" t="str">
        <f>IF(Table10[[#This Row],[RIDER]]="","",IF(COUNTIF(K27:T27, "E"), "E", (SUM(K27:T27)-U27)))</f>
        <v/>
      </c>
      <c r="K27" s="17">
        <v>0</v>
      </c>
      <c r="L27" s="17">
        <v>0</v>
      </c>
      <c r="M27" s="17">
        <v>0</v>
      </c>
      <c r="N27" s="17">
        <v>0</v>
      </c>
      <c r="O27" s="17">
        <v>0</v>
      </c>
      <c r="P27" s="17">
        <v>0</v>
      </c>
      <c r="Q27" s="17">
        <v>0</v>
      </c>
      <c r="R27" s="17">
        <v>0</v>
      </c>
      <c r="S27" s="17">
        <v>0</v>
      </c>
      <c r="T27" s="17">
        <v>0</v>
      </c>
      <c r="U27" s="17">
        <v>0</v>
      </c>
      <c r="V27" s="17"/>
      <c r="W27" s="17"/>
      <c r="X27" s="18" t="str">
        <f>IF(C27="","",IF(OR(Table10[[#This Row],[Outside/Broke (O/B)]]="O",Table10[[#This Row],[Outside/Broke (O/B)]]="B"),0,VLOOKUP((V27/MAlength*150),CanterScore,2,TRUE)))</f>
        <v/>
      </c>
      <c r="Y27" s="17"/>
      <c r="Z27" s="17"/>
      <c r="AA27" s="18" t="str">
        <f>IF(C27="","",IF(OR(Table10[[#This Row],[Outside/Broke (O/B)2]]="O",Table10[[#This Row],[Outside/Broke (O/B)2]]="B"),0,IF((Y27/MAlength*150)=0, 0,IF((Y27/MAlength*150)&lt;'MA calc'!$A$4, 15, VLOOKUP((Y27/MAlength*150),WalkScore,2,TRUE)))))</f>
        <v/>
      </c>
      <c r="AB27" s="17"/>
    </row>
    <row r="28" spans="1:28" s="35" customFormat="1" x14ac:dyDescent="0.3">
      <c r="A28" s="17"/>
      <c r="B28" s="17"/>
      <c r="C28" s="17"/>
      <c r="D28" s="17"/>
      <c r="E28" s="17"/>
      <c r="F28" s="17"/>
      <c r="G28" s="42" t="str">
        <f t="shared" si="0"/>
        <v/>
      </c>
      <c r="H28" s="52" t="str">
        <f>IF(Table10[[#This Row],[RIDER]]="","",IF((COUNTIF(J28, "E")), "E", (SUM(J28+I28))))</f>
        <v/>
      </c>
      <c r="I28" s="52" t="str">
        <f>IF(Table10[[#This Row],[RIDER]]="","",SUM(X28,AA28))</f>
        <v/>
      </c>
      <c r="J28" s="42" t="str">
        <f>IF(Table10[[#This Row],[RIDER]]="","",IF(COUNTIF(K28:T28, "E"), "E", (SUM(K28:T28)-U28)))</f>
        <v/>
      </c>
      <c r="K28" s="17">
        <v>0</v>
      </c>
      <c r="L28" s="17">
        <v>0</v>
      </c>
      <c r="M28" s="17">
        <v>0</v>
      </c>
      <c r="N28" s="17">
        <v>0</v>
      </c>
      <c r="O28" s="17">
        <v>0</v>
      </c>
      <c r="P28" s="17">
        <v>0</v>
      </c>
      <c r="Q28" s="17">
        <v>0</v>
      </c>
      <c r="R28" s="17">
        <v>0</v>
      </c>
      <c r="S28" s="17">
        <v>0</v>
      </c>
      <c r="T28" s="17">
        <v>0</v>
      </c>
      <c r="U28" s="17">
        <v>0</v>
      </c>
      <c r="V28" s="17"/>
      <c r="W28" s="17"/>
      <c r="X28" s="18" t="str">
        <f>IF(C28="","",IF(OR(Table10[[#This Row],[Outside/Broke (O/B)]]="O",Table10[[#This Row],[Outside/Broke (O/B)]]="B"),0,VLOOKUP((V28/MAlength*150),CanterScore,2,TRUE)))</f>
        <v/>
      </c>
      <c r="Y28" s="17"/>
      <c r="Z28" s="17"/>
      <c r="AA28" s="18" t="str">
        <f>IF(C28="","",IF(OR(Table10[[#This Row],[Outside/Broke (O/B)2]]="O",Table10[[#This Row],[Outside/Broke (O/B)2]]="B"),0,IF((Y28/MAlength*150)=0, 0,IF((Y28/MAlength*150)&lt;'MA calc'!$A$4, 15, VLOOKUP((Y28/MAlength*150),WalkScore,2,TRUE)))))</f>
        <v/>
      </c>
      <c r="AB28" s="17"/>
    </row>
    <row r="29" spans="1:28" s="35" customFormat="1" x14ac:dyDescent="0.3">
      <c r="A29" s="17"/>
      <c r="B29" s="17"/>
      <c r="C29" s="17"/>
      <c r="D29" s="17"/>
      <c r="E29" s="17"/>
      <c r="F29" s="17"/>
      <c r="G29" s="42" t="str">
        <f t="shared" si="0"/>
        <v/>
      </c>
      <c r="H29" s="52" t="str">
        <f>IF(Table10[[#This Row],[RIDER]]="","",IF((COUNTIF(J29, "E")), "E", (SUM(J29+I29))))</f>
        <v/>
      </c>
      <c r="I29" s="52" t="str">
        <f>IF(Table10[[#This Row],[RIDER]]="","",SUM(X29,AA29))</f>
        <v/>
      </c>
      <c r="J29" s="42" t="str">
        <f>IF(Table10[[#This Row],[RIDER]]="","",IF(COUNTIF(K29:T29, "E"), "E", (SUM(K29:T29)-U29)))</f>
        <v/>
      </c>
      <c r="K29" s="17">
        <v>0</v>
      </c>
      <c r="L29" s="17">
        <v>0</v>
      </c>
      <c r="M29" s="17">
        <v>0</v>
      </c>
      <c r="N29" s="17">
        <v>0</v>
      </c>
      <c r="O29" s="17">
        <v>0</v>
      </c>
      <c r="P29" s="17">
        <v>0</v>
      </c>
      <c r="Q29" s="17">
        <v>0</v>
      </c>
      <c r="R29" s="17">
        <v>0</v>
      </c>
      <c r="S29" s="17">
        <v>0</v>
      </c>
      <c r="T29" s="17">
        <v>0</v>
      </c>
      <c r="U29" s="17">
        <v>0</v>
      </c>
      <c r="V29" s="17"/>
      <c r="W29" s="17"/>
      <c r="X29" s="18" t="str">
        <f>IF(C29="","",IF(OR(Table10[[#This Row],[Outside/Broke (O/B)]]="O",Table10[[#This Row],[Outside/Broke (O/B)]]="B"),0,VLOOKUP((V29/MAlength*150),CanterScore,2,TRUE)))</f>
        <v/>
      </c>
      <c r="Y29" s="17"/>
      <c r="Z29" s="17"/>
      <c r="AA29" s="18" t="str">
        <f>IF(C29="","",IF(OR(Table10[[#This Row],[Outside/Broke (O/B)2]]="O",Table10[[#This Row],[Outside/Broke (O/B)2]]="B"),0,IF((Y29/MAlength*150)=0, 0,IF((Y29/MAlength*150)&lt;'MA calc'!$A$4, 15, VLOOKUP((Y29/MAlength*150),WalkScore,2,TRUE)))))</f>
        <v/>
      </c>
      <c r="AB29" s="17"/>
    </row>
    <row r="30" spans="1:28" s="35" customFormat="1" x14ac:dyDescent="0.3">
      <c r="A30" s="17"/>
      <c r="B30" s="17"/>
      <c r="C30" s="17"/>
      <c r="D30" s="17"/>
      <c r="E30" s="17"/>
      <c r="F30" s="17"/>
      <c r="G30" s="42" t="str">
        <f t="shared" si="0"/>
        <v/>
      </c>
      <c r="H30" s="52" t="str">
        <f>IF(Table10[[#This Row],[RIDER]]="","",IF((COUNTIF(J30, "E")), "E", (SUM(J30+I30))))</f>
        <v/>
      </c>
      <c r="I30" s="52" t="str">
        <f>IF(Table10[[#This Row],[RIDER]]="","",SUM(X30,AA30))</f>
        <v/>
      </c>
      <c r="J30" s="42" t="str">
        <f>IF(Table10[[#This Row],[RIDER]]="","",IF(COUNTIF(K30:T30, "E"), "E", (SUM(K30:T30)-U30)))</f>
        <v/>
      </c>
      <c r="K30" s="17">
        <v>0</v>
      </c>
      <c r="L30" s="17">
        <v>0</v>
      </c>
      <c r="M30" s="17">
        <v>0</v>
      </c>
      <c r="N30" s="17">
        <v>0</v>
      </c>
      <c r="O30" s="17">
        <v>0</v>
      </c>
      <c r="P30" s="17">
        <v>0</v>
      </c>
      <c r="Q30" s="17">
        <v>0</v>
      </c>
      <c r="R30" s="17">
        <v>0</v>
      </c>
      <c r="S30" s="17">
        <v>0</v>
      </c>
      <c r="T30" s="17">
        <v>0</v>
      </c>
      <c r="U30" s="17">
        <v>0</v>
      </c>
      <c r="V30" s="17"/>
      <c r="W30" s="17"/>
      <c r="X30" s="18" t="str">
        <f>IF(C30="","",IF(OR(Table10[[#This Row],[Outside/Broke (O/B)]]="O",Table10[[#This Row],[Outside/Broke (O/B)]]="B"),0,VLOOKUP((V30/MAlength*150),CanterScore,2,TRUE)))</f>
        <v/>
      </c>
      <c r="Y30" s="17"/>
      <c r="Z30" s="17"/>
      <c r="AA30" s="18" t="str">
        <f>IF(C30="","",IF(OR(Table10[[#This Row],[Outside/Broke (O/B)2]]="O",Table10[[#This Row],[Outside/Broke (O/B)2]]="B"),0,IF((Y30/MAlength*150)=0, 0,IF((Y30/MAlength*150)&lt;'MA calc'!$A$4, 15, VLOOKUP((Y30/MAlength*150),WalkScore,2,TRUE)))))</f>
        <v/>
      </c>
      <c r="AB30" s="17"/>
    </row>
    <row r="31" spans="1:28" s="35" customFormat="1" x14ac:dyDescent="0.3">
      <c r="A31" s="17"/>
      <c r="B31" s="17"/>
      <c r="C31" s="17"/>
      <c r="D31" s="17"/>
      <c r="E31" s="17"/>
      <c r="F31" s="17"/>
      <c r="G31" s="42" t="str">
        <f t="shared" si="0"/>
        <v/>
      </c>
      <c r="H31" s="52" t="str">
        <f>IF(Table10[[#This Row],[RIDER]]="","",IF((COUNTIF(J31, "E")), "E", (SUM(J31+I31))))</f>
        <v/>
      </c>
      <c r="I31" s="52" t="str">
        <f>IF(Table10[[#This Row],[RIDER]]="","",SUM(X31,AA31))</f>
        <v/>
      </c>
      <c r="J31" s="42" t="str">
        <f>IF(Table10[[#This Row],[RIDER]]="","",IF(COUNTIF(K31:T31, "E"), "E", (SUM(K31:T31)-U31)))</f>
        <v/>
      </c>
      <c r="K31" s="17">
        <v>0</v>
      </c>
      <c r="L31" s="17">
        <v>0</v>
      </c>
      <c r="M31" s="17">
        <v>0</v>
      </c>
      <c r="N31" s="17">
        <v>0</v>
      </c>
      <c r="O31" s="17">
        <v>0</v>
      </c>
      <c r="P31" s="17">
        <v>0</v>
      </c>
      <c r="Q31" s="17">
        <v>0</v>
      </c>
      <c r="R31" s="17">
        <v>0</v>
      </c>
      <c r="S31" s="17">
        <v>0</v>
      </c>
      <c r="T31" s="17">
        <v>0</v>
      </c>
      <c r="U31" s="17">
        <v>0</v>
      </c>
      <c r="V31" s="17"/>
      <c r="W31" s="17"/>
      <c r="X31" s="18" t="str">
        <f>IF(C31="","",IF(OR(Table10[[#This Row],[Outside/Broke (O/B)]]="O",Table10[[#This Row],[Outside/Broke (O/B)]]="B"),0,VLOOKUP((V31/MAlength*150),CanterScore,2,TRUE)))</f>
        <v/>
      </c>
      <c r="Y31" s="17"/>
      <c r="Z31" s="17"/>
      <c r="AA31" s="18" t="str">
        <f>IF(C31="","",IF(OR(Table10[[#This Row],[Outside/Broke (O/B)2]]="O",Table10[[#This Row],[Outside/Broke (O/B)2]]="B"),0,IF((Y31/MAlength*150)=0, 0,IF((Y31/MAlength*150)&lt;'MA calc'!$A$4, 15, VLOOKUP((Y31/MAlength*150),WalkScore,2,TRUE)))))</f>
        <v/>
      </c>
      <c r="AB31" s="17"/>
    </row>
    <row r="32" spans="1:28" s="35" customFormat="1" x14ac:dyDescent="0.3">
      <c r="A32" s="17"/>
      <c r="B32" s="17"/>
      <c r="C32" s="17"/>
      <c r="D32" s="17"/>
      <c r="E32" s="17"/>
      <c r="F32" s="17"/>
      <c r="G32" s="42" t="str">
        <f t="shared" si="0"/>
        <v/>
      </c>
      <c r="H32" s="52" t="str">
        <f>IF(Table10[[#This Row],[RIDER]]="","",IF((COUNTIF(J32, "E")), "E", (SUM(J32+I32))))</f>
        <v/>
      </c>
      <c r="I32" s="52" t="str">
        <f>IF(Table10[[#This Row],[RIDER]]="","",SUM(X32,AA32))</f>
        <v/>
      </c>
      <c r="J32" s="42" t="str">
        <f>IF(Table10[[#This Row],[RIDER]]="","",IF(COUNTIF(K32:T32, "E"), "E", (SUM(K32:T32)-U32)))</f>
        <v/>
      </c>
      <c r="K32" s="17">
        <v>0</v>
      </c>
      <c r="L32" s="17">
        <v>0</v>
      </c>
      <c r="M32" s="17">
        <v>0</v>
      </c>
      <c r="N32" s="17">
        <v>0</v>
      </c>
      <c r="O32" s="17">
        <v>0</v>
      </c>
      <c r="P32" s="17">
        <v>0</v>
      </c>
      <c r="Q32" s="17">
        <v>0</v>
      </c>
      <c r="R32" s="17">
        <v>0</v>
      </c>
      <c r="S32" s="17">
        <v>0</v>
      </c>
      <c r="T32" s="17">
        <v>0</v>
      </c>
      <c r="U32" s="17">
        <v>0</v>
      </c>
      <c r="V32" s="17"/>
      <c r="W32" s="17"/>
      <c r="X32" s="18" t="str">
        <f>IF(C32="","",IF(OR(Table10[[#This Row],[Outside/Broke (O/B)]]="O",Table10[[#This Row],[Outside/Broke (O/B)]]="B"),0,VLOOKUP((V32/MAlength*150),CanterScore,2,TRUE)))</f>
        <v/>
      </c>
      <c r="Y32" s="17"/>
      <c r="Z32" s="17"/>
      <c r="AA32" s="18" t="str">
        <f>IF(C32="","",IF(OR(Table10[[#This Row],[Outside/Broke (O/B)2]]="O",Table10[[#This Row],[Outside/Broke (O/B)2]]="B"),0,IF((Y32/MAlength*150)=0, 0,IF((Y32/MAlength*150)&lt;'MA calc'!$A$4, 15, VLOOKUP((Y32/MAlength*150),WalkScore,2,TRUE)))))</f>
        <v/>
      </c>
      <c r="AB32" s="17"/>
    </row>
    <row r="33" spans="1:28" s="35" customFormat="1" x14ac:dyDescent="0.3">
      <c r="A33" s="17"/>
      <c r="B33" s="17"/>
      <c r="C33" s="17"/>
      <c r="D33" s="17"/>
      <c r="E33" s="17"/>
      <c r="F33" s="17"/>
      <c r="G33" s="42" t="str">
        <f t="shared" si="0"/>
        <v/>
      </c>
      <c r="H33" s="52" t="str">
        <f>IF(Table10[[#This Row],[RIDER]]="","",IF((COUNTIF(J33, "E")), "E", (SUM(J33+I33))))</f>
        <v/>
      </c>
      <c r="I33" s="52" t="str">
        <f>IF(Table10[[#This Row],[RIDER]]="","",SUM(X33,AA33))</f>
        <v/>
      </c>
      <c r="J33" s="42" t="str">
        <f>IF(Table10[[#This Row],[RIDER]]="","",IF(COUNTIF(K33:T33, "E"), "E", (SUM(K33:T33)-U33)))</f>
        <v/>
      </c>
      <c r="K33" s="17">
        <v>0</v>
      </c>
      <c r="L33" s="17">
        <v>0</v>
      </c>
      <c r="M33" s="17">
        <v>0</v>
      </c>
      <c r="N33" s="17">
        <v>0</v>
      </c>
      <c r="O33" s="17">
        <v>0</v>
      </c>
      <c r="P33" s="17">
        <v>0</v>
      </c>
      <c r="Q33" s="17">
        <v>0</v>
      </c>
      <c r="R33" s="17">
        <v>0</v>
      </c>
      <c r="S33" s="17">
        <v>0</v>
      </c>
      <c r="T33" s="17">
        <v>0</v>
      </c>
      <c r="U33" s="17">
        <v>0</v>
      </c>
      <c r="V33" s="17"/>
      <c r="W33" s="17"/>
      <c r="X33" s="18" t="str">
        <f>IF(C33="","",IF(OR(Table10[[#This Row],[Outside/Broke (O/B)]]="O",Table10[[#This Row],[Outside/Broke (O/B)]]="B"),0,VLOOKUP((V33/MAlength*150),CanterScore,2,TRUE)))</f>
        <v/>
      </c>
      <c r="Y33" s="17"/>
      <c r="Z33" s="17"/>
      <c r="AA33" s="18" t="str">
        <f>IF(C33="","",IF(OR(Table10[[#This Row],[Outside/Broke (O/B)2]]="O",Table10[[#This Row],[Outside/Broke (O/B)2]]="B"),0,IF((Y33/MAlength*150)=0, 0,IF((Y33/MAlength*150)&lt;'MA calc'!$A$4, 15, VLOOKUP((Y33/MAlength*150),WalkScore,2,TRUE)))))</f>
        <v/>
      </c>
      <c r="AB33" s="17"/>
    </row>
    <row r="34" spans="1:28" s="35" customFormat="1" x14ac:dyDescent="0.3">
      <c r="A34" s="17"/>
      <c r="B34" s="17"/>
      <c r="C34" s="17"/>
      <c r="D34" s="17"/>
      <c r="E34" s="17"/>
      <c r="F34" s="17"/>
      <c r="G34" s="42" t="str">
        <f t="shared" si="0"/>
        <v/>
      </c>
      <c r="H34" s="52" t="str">
        <f>IF(Table10[[#This Row],[RIDER]]="","",IF((COUNTIF(J34, "E")), "E", (SUM(J34+I34))))</f>
        <v/>
      </c>
      <c r="I34" s="52" t="str">
        <f>IF(Table10[[#This Row],[RIDER]]="","",SUM(X34,AA34))</f>
        <v/>
      </c>
      <c r="J34" s="42" t="str">
        <f>IF(Table10[[#This Row],[RIDER]]="","",IF(COUNTIF(K34:T34, "E"), "E", (SUM(K34:T34)-U34)))</f>
        <v/>
      </c>
      <c r="K34" s="17">
        <v>0</v>
      </c>
      <c r="L34" s="17">
        <v>0</v>
      </c>
      <c r="M34" s="17">
        <v>0</v>
      </c>
      <c r="N34" s="17">
        <v>0</v>
      </c>
      <c r="O34" s="17">
        <v>0</v>
      </c>
      <c r="P34" s="17">
        <v>0</v>
      </c>
      <c r="Q34" s="17">
        <v>0</v>
      </c>
      <c r="R34" s="17">
        <v>0</v>
      </c>
      <c r="S34" s="17">
        <v>0</v>
      </c>
      <c r="T34" s="17">
        <v>0</v>
      </c>
      <c r="U34" s="17">
        <v>0</v>
      </c>
      <c r="V34" s="17"/>
      <c r="W34" s="17"/>
      <c r="X34" s="18" t="str">
        <f>IF(C34="","",IF(OR(Table10[[#This Row],[Outside/Broke (O/B)]]="O",Table10[[#This Row],[Outside/Broke (O/B)]]="B"),0,VLOOKUP((V34/MAlength*150),CanterScore,2,TRUE)))</f>
        <v/>
      </c>
      <c r="Y34" s="17"/>
      <c r="Z34" s="17"/>
      <c r="AA34" s="18" t="str">
        <f>IF(C34="","",IF(OR(Table10[[#This Row],[Outside/Broke (O/B)2]]="O",Table10[[#This Row],[Outside/Broke (O/B)2]]="B"),0,IF((Y34/MAlength*150)=0, 0,IF((Y34/MAlength*150)&lt;'MA calc'!$A$4, 15, VLOOKUP((Y34/MAlength*150),WalkScore,2,TRUE)))))</f>
        <v/>
      </c>
      <c r="AB34" s="17"/>
    </row>
    <row r="35" spans="1:28" s="35" customFormat="1" x14ac:dyDescent="0.3">
      <c r="A35" s="17"/>
      <c r="B35" s="17"/>
      <c r="C35" s="17"/>
      <c r="D35" s="17"/>
      <c r="E35" s="17"/>
      <c r="F35" s="17"/>
      <c r="G35" s="42" t="str">
        <f t="shared" si="0"/>
        <v/>
      </c>
      <c r="H35" s="52" t="str">
        <f>IF(Table10[[#This Row],[RIDER]]="","",IF((COUNTIF(J35, "E")), "E", (SUM(J35+I35))))</f>
        <v/>
      </c>
      <c r="I35" s="52" t="str">
        <f>IF(Table10[[#This Row],[RIDER]]="","",SUM(X35,AA35))</f>
        <v/>
      </c>
      <c r="J35" s="42" t="str">
        <f>IF(Table10[[#This Row],[RIDER]]="","",IF(COUNTIF(K35:T35, "E"), "E", (SUM(K35:T35)-U35)))</f>
        <v/>
      </c>
      <c r="K35" s="17">
        <v>0</v>
      </c>
      <c r="L35" s="17">
        <v>0</v>
      </c>
      <c r="M35" s="17">
        <v>0</v>
      </c>
      <c r="N35" s="17">
        <v>0</v>
      </c>
      <c r="O35" s="17">
        <v>0</v>
      </c>
      <c r="P35" s="17">
        <v>0</v>
      </c>
      <c r="Q35" s="17">
        <v>0</v>
      </c>
      <c r="R35" s="17">
        <v>0</v>
      </c>
      <c r="S35" s="17">
        <v>0</v>
      </c>
      <c r="T35" s="17">
        <v>0</v>
      </c>
      <c r="U35" s="17">
        <v>0</v>
      </c>
      <c r="V35" s="17"/>
      <c r="W35" s="17"/>
      <c r="X35" s="18" t="str">
        <f>IF(C35="","",IF(OR(Table10[[#This Row],[Outside/Broke (O/B)]]="O",Table10[[#This Row],[Outside/Broke (O/B)]]="B"),0,VLOOKUP((V35/MAlength*150),CanterScore,2,TRUE)))</f>
        <v/>
      </c>
      <c r="Y35" s="17"/>
      <c r="Z35" s="17"/>
      <c r="AA35" s="18" t="str">
        <f>IF(C35="","",IF(OR(Table10[[#This Row],[Outside/Broke (O/B)2]]="O",Table10[[#This Row],[Outside/Broke (O/B)2]]="B"),0,IF((Y35/MAlength*150)=0, 0,IF((Y35/MAlength*150)&lt;'MA calc'!$A$4, 15, VLOOKUP((Y35/MAlength*150),WalkScore,2,TRUE)))))</f>
        <v/>
      </c>
      <c r="AB35" s="17"/>
    </row>
  </sheetData>
  <mergeCells count="5">
    <mergeCell ref="D6:E6"/>
    <mergeCell ref="H6:I6"/>
    <mergeCell ref="K6:L6"/>
    <mergeCell ref="M6:T6"/>
    <mergeCell ref="D7:E7"/>
  </mergeCells>
  <phoneticPr fontId="26" type="noConversion"/>
  <conditionalFormatting sqref="K11:U35">
    <cfRule type="cellIs" dxfId="0" priority="1" operator="greaterThan">
      <formula>10</formula>
    </cfRule>
  </conditionalFormatting>
  <dataValidations count="3">
    <dataValidation type="list" allowBlank="1" showDropDown="1" showErrorMessage="1" errorTitle="Invalid entry" error="Please enter Y or N only" sqref="E11:E35" xr:uid="{0D50DEE7-1711-45C7-80F2-8D78168A7138}">
      <formula1>"N,Y"</formula1>
    </dataValidation>
    <dataValidation type="list" allowBlank="1" showDropDown="1" showErrorMessage="1" errorTitle="Invalid entry" error="Please enter O or B only" sqref="W11:W35 Z11:Z35" xr:uid="{EC5E72C1-7FE8-4BFA-BAAE-C1E0669BFDD3}">
      <formula1>"B,O"</formula1>
    </dataValidation>
    <dataValidation type="list" operator="lessThanOrEqual" allowBlank="1" showDropDown="1" showInputMessage="1" showErrorMessage="1" errorTitle="Invalid entry" error="The maximum score for each obstacle is 10. _x000a_Please enter a number between -5 and 20, or an E." sqref="K11:U35" xr:uid="{D07199EE-B17A-42F3-963A-A2058DA2584E}">
      <formula1>"0,1,2,3,4,5,6,7,8,9,10,11,12,13,14,15,16,17,18,19,20,E,-1,-2,-3,-4,-5"</formula1>
    </dataValidation>
  </dataValidations>
  <printOptions horizontalCentered="1" verticalCentered="1"/>
  <pageMargins left="0.23622047244094491" right="0.23622047244094491" top="0.74803149606299213" bottom="0.74803149606299213" header="0.31496062992125984" footer="0.31496062992125984"/>
  <pageSetup paperSize="9" scale="53" orientation="landscape" r:id="rId1"/>
  <drawing r:id="rId2"/>
  <tableParts count="1">
    <tablePart r:id="rId3"/>
  </tablePart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49BC69-D189-4420-95E7-C22A0E365488}">
  <sheetPr codeName="Sheet12"/>
  <dimension ref="A1:D34"/>
  <sheetViews>
    <sheetView workbookViewId="0">
      <selection activeCell="A4" sqref="A4:B34"/>
    </sheetView>
  </sheetViews>
  <sheetFormatPr defaultRowHeight="13.8" x14ac:dyDescent="0.25"/>
  <sheetData>
    <row r="1" spans="1:4" ht="14.4" thickBot="1" x14ac:dyDescent="0.3">
      <c r="A1" s="9" t="s">
        <v>52</v>
      </c>
      <c r="B1" s="9" t="s">
        <v>53</v>
      </c>
      <c r="C1" s="9" t="s">
        <v>54</v>
      </c>
      <c r="D1" s="9" t="s">
        <v>53</v>
      </c>
    </row>
    <row r="2" spans="1:4" ht="14.4" thickBot="1" x14ac:dyDescent="0.3">
      <c r="A2" s="10" t="s">
        <v>55</v>
      </c>
      <c r="B2" s="8"/>
      <c r="C2" s="9"/>
      <c r="D2" s="8"/>
    </row>
    <row r="3" spans="1:4" ht="14.4" thickBot="1" x14ac:dyDescent="0.3">
      <c r="A3" s="11">
        <v>150</v>
      </c>
      <c r="B3" s="8"/>
      <c r="C3" s="11">
        <v>150</v>
      </c>
      <c r="D3" s="8"/>
    </row>
    <row r="4" spans="1:4" ht="14.4" thickBot="1" x14ac:dyDescent="0.3">
      <c r="A4" s="12">
        <v>67</v>
      </c>
      <c r="B4" s="13">
        <v>15</v>
      </c>
      <c r="C4" s="12">
        <v>0</v>
      </c>
      <c r="D4" s="13">
        <v>0</v>
      </c>
    </row>
    <row r="5" spans="1:4" ht="14.4" thickBot="1" x14ac:dyDescent="0.3">
      <c r="A5" s="12">
        <v>68</v>
      </c>
      <c r="B5" s="13">
        <v>14.5</v>
      </c>
      <c r="C5" s="12">
        <v>27</v>
      </c>
      <c r="D5" s="13">
        <v>0.5</v>
      </c>
    </row>
    <row r="6" spans="1:4" ht="14.4" thickBot="1" x14ac:dyDescent="0.3">
      <c r="A6" s="12">
        <v>69</v>
      </c>
      <c r="B6" s="13">
        <v>14</v>
      </c>
      <c r="C6" s="12">
        <v>27.8</v>
      </c>
      <c r="D6" s="13">
        <v>1</v>
      </c>
    </row>
    <row r="7" spans="1:4" ht="14.4" thickBot="1" x14ac:dyDescent="0.3">
      <c r="A7" s="12">
        <v>70</v>
      </c>
      <c r="B7" s="13">
        <v>13.5</v>
      </c>
      <c r="C7" s="12">
        <v>28.5</v>
      </c>
      <c r="D7" s="13">
        <v>1.5</v>
      </c>
    </row>
    <row r="8" spans="1:4" ht="14.4" thickBot="1" x14ac:dyDescent="0.3">
      <c r="A8" s="12">
        <v>71</v>
      </c>
      <c r="B8" s="13">
        <v>13</v>
      </c>
      <c r="C8" s="12">
        <v>29.3</v>
      </c>
      <c r="D8" s="13">
        <v>2</v>
      </c>
    </row>
    <row r="9" spans="1:4" ht="14.4" thickBot="1" x14ac:dyDescent="0.3">
      <c r="A9" s="12">
        <v>72</v>
      </c>
      <c r="B9" s="13">
        <v>12.5</v>
      </c>
      <c r="C9" s="12">
        <v>30</v>
      </c>
      <c r="D9" s="13">
        <v>2.5</v>
      </c>
    </row>
    <row r="10" spans="1:4" ht="14.4" thickBot="1" x14ac:dyDescent="0.3">
      <c r="A10" s="12">
        <v>73</v>
      </c>
      <c r="B10" s="13">
        <v>12</v>
      </c>
      <c r="C10" s="12">
        <v>30.2</v>
      </c>
      <c r="D10" s="13">
        <v>3</v>
      </c>
    </row>
    <row r="11" spans="1:4" ht="14.4" thickBot="1" x14ac:dyDescent="0.3">
      <c r="A11" s="12">
        <v>74</v>
      </c>
      <c r="B11" s="13">
        <v>11.5</v>
      </c>
      <c r="C11" s="12">
        <v>30.3</v>
      </c>
      <c r="D11" s="13">
        <v>3.5</v>
      </c>
    </row>
    <row r="12" spans="1:4" ht="14.4" thickBot="1" x14ac:dyDescent="0.3">
      <c r="A12" s="12">
        <v>75</v>
      </c>
      <c r="B12" s="13">
        <v>11</v>
      </c>
      <c r="C12" s="12">
        <v>30.5</v>
      </c>
      <c r="D12" s="13">
        <v>4</v>
      </c>
    </row>
    <row r="13" spans="1:4" ht="14.4" thickBot="1" x14ac:dyDescent="0.3">
      <c r="A13" s="12">
        <v>76</v>
      </c>
      <c r="B13" s="13">
        <v>10.5</v>
      </c>
      <c r="C13" s="12">
        <v>30.6</v>
      </c>
      <c r="D13" s="13">
        <v>4.5</v>
      </c>
    </row>
    <row r="14" spans="1:4" ht="14.4" thickBot="1" x14ac:dyDescent="0.3">
      <c r="A14" s="12">
        <v>77</v>
      </c>
      <c r="B14" s="13">
        <v>10</v>
      </c>
      <c r="C14" s="12">
        <v>30.8</v>
      </c>
      <c r="D14" s="13">
        <v>5</v>
      </c>
    </row>
    <row r="15" spans="1:4" ht="14.4" thickBot="1" x14ac:dyDescent="0.3">
      <c r="A15" s="12">
        <v>78</v>
      </c>
      <c r="B15" s="13">
        <v>9.5</v>
      </c>
      <c r="C15" s="12">
        <v>30.9</v>
      </c>
      <c r="D15" s="13">
        <v>5.5</v>
      </c>
    </row>
    <row r="16" spans="1:4" ht="14.4" thickBot="1" x14ac:dyDescent="0.3">
      <c r="A16" s="12">
        <v>79</v>
      </c>
      <c r="B16" s="13">
        <v>9</v>
      </c>
      <c r="C16" s="12">
        <v>31.1</v>
      </c>
      <c r="D16" s="13">
        <v>6</v>
      </c>
    </row>
    <row r="17" spans="1:4" ht="14.4" thickBot="1" x14ac:dyDescent="0.3">
      <c r="A17" s="12">
        <v>80</v>
      </c>
      <c r="B17" s="13">
        <v>8.5</v>
      </c>
      <c r="C17" s="12">
        <v>31.2</v>
      </c>
      <c r="D17" s="13">
        <v>6.5</v>
      </c>
    </row>
    <row r="18" spans="1:4" ht="14.4" thickBot="1" x14ac:dyDescent="0.3">
      <c r="A18" s="12">
        <v>81</v>
      </c>
      <c r="B18" s="13">
        <v>8</v>
      </c>
      <c r="C18" s="12">
        <v>31.4</v>
      </c>
      <c r="D18" s="13">
        <v>7</v>
      </c>
    </row>
    <row r="19" spans="1:4" ht="14.4" thickBot="1" x14ac:dyDescent="0.3">
      <c r="A19" s="12">
        <v>82</v>
      </c>
      <c r="B19" s="13">
        <v>7.5</v>
      </c>
      <c r="C19" s="12">
        <v>31.5</v>
      </c>
      <c r="D19" s="13">
        <v>7.5</v>
      </c>
    </row>
    <row r="20" spans="1:4" ht="14.4" thickBot="1" x14ac:dyDescent="0.3">
      <c r="A20" s="12">
        <v>83</v>
      </c>
      <c r="B20" s="13">
        <v>7</v>
      </c>
      <c r="C20" s="12">
        <v>31.7</v>
      </c>
      <c r="D20" s="13">
        <v>8</v>
      </c>
    </row>
    <row r="21" spans="1:4" ht="14.4" thickBot="1" x14ac:dyDescent="0.3">
      <c r="A21" s="12">
        <v>84</v>
      </c>
      <c r="B21" s="13">
        <v>6.5</v>
      </c>
      <c r="C21" s="12">
        <v>31.8</v>
      </c>
      <c r="D21" s="13">
        <v>8.5</v>
      </c>
    </row>
    <row r="22" spans="1:4" ht="14.4" thickBot="1" x14ac:dyDescent="0.3">
      <c r="A22" s="12">
        <v>85</v>
      </c>
      <c r="B22" s="13">
        <v>6</v>
      </c>
      <c r="C22" s="12">
        <v>32</v>
      </c>
      <c r="D22" s="13">
        <v>9</v>
      </c>
    </row>
    <row r="23" spans="1:4" ht="14.4" thickBot="1" x14ac:dyDescent="0.3">
      <c r="A23" s="12">
        <v>86</v>
      </c>
      <c r="B23" s="13">
        <v>5.5</v>
      </c>
      <c r="C23" s="12">
        <v>32.1</v>
      </c>
      <c r="D23" s="13">
        <v>9.5</v>
      </c>
    </row>
    <row r="24" spans="1:4" ht="14.4" thickBot="1" x14ac:dyDescent="0.3">
      <c r="A24" s="12">
        <v>87</v>
      </c>
      <c r="B24" s="13">
        <v>5</v>
      </c>
      <c r="C24" s="12">
        <v>32.299999999999997</v>
      </c>
      <c r="D24" s="13">
        <v>10</v>
      </c>
    </row>
    <row r="25" spans="1:4" ht="14.4" thickBot="1" x14ac:dyDescent="0.3">
      <c r="A25" s="12">
        <v>88</v>
      </c>
      <c r="B25" s="13">
        <v>4.5</v>
      </c>
      <c r="C25" s="12">
        <v>32.4</v>
      </c>
      <c r="D25" s="13">
        <v>10.5</v>
      </c>
    </row>
    <row r="26" spans="1:4" ht="14.4" thickBot="1" x14ac:dyDescent="0.3">
      <c r="A26" s="12">
        <v>89</v>
      </c>
      <c r="B26" s="13">
        <v>4</v>
      </c>
      <c r="C26" s="12">
        <v>32.6</v>
      </c>
      <c r="D26" s="13">
        <v>11</v>
      </c>
    </row>
    <row r="27" spans="1:4" ht="14.4" thickBot="1" x14ac:dyDescent="0.3">
      <c r="A27" s="12">
        <v>90</v>
      </c>
      <c r="B27" s="13">
        <v>3.5</v>
      </c>
      <c r="C27" s="12">
        <v>32.700000000000003</v>
      </c>
      <c r="D27" s="13">
        <v>11.5</v>
      </c>
    </row>
    <row r="28" spans="1:4" ht="14.4" thickBot="1" x14ac:dyDescent="0.3">
      <c r="A28" s="12">
        <v>91</v>
      </c>
      <c r="B28" s="13">
        <v>3</v>
      </c>
      <c r="C28" s="12">
        <v>32.9</v>
      </c>
      <c r="D28" s="13">
        <v>12</v>
      </c>
    </row>
    <row r="29" spans="1:4" ht="14.4" thickBot="1" x14ac:dyDescent="0.3">
      <c r="A29" s="12">
        <v>92</v>
      </c>
      <c r="B29" s="13">
        <v>2.5</v>
      </c>
      <c r="C29" s="12">
        <v>33</v>
      </c>
      <c r="D29" s="13">
        <v>12.5</v>
      </c>
    </row>
    <row r="30" spans="1:4" ht="14.4" thickBot="1" x14ac:dyDescent="0.3">
      <c r="A30" s="12">
        <v>93</v>
      </c>
      <c r="B30" s="13">
        <v>2</v>
      </c>
      <c r="C30" s="12">
        <v>33.200000000000003</v>
      </c>
      <c r="D30" s="13">
        <v>13</v>
      </c>
    </row>
    <row r="31" spans="1:4" ht="14.4" thickBot="1" x14ac:dyDescent="0.3">
      <c r="A31" s="12">
        <v>94</v>
      </c>
      <c r="B31" s="13">
        <v>1.5</v>
      </c>
      <c r="C31" s="12">
        <v>33.299999999999997</v>
      </c>
      <c r="D31" s="13">
        <v>13.5</v>
      </c>
    </row>
    <row r="32" spans="1:4" ht="14.4" thickBot="1" x14ac:dyDescent="0.3">
      <c r="A32" s="12">
        <v>95</v>
      </c>
      <c r="B32" s="13">
        <v>1</v>
      </c>
      <c r="C32" s="12">
        <v>33.5</v>
      </c>
      <c r="D32" s="13">
        <v>14</v>
      </c>
    </row>
    <row r="33" spans="1:4" ht="14.4" thickBot="1" x14ac:dyDescent="0.3">
      <c r="A33" s="12">
        <v>96</v>
      </c>
      <c r="B33" s="13">
        <v>0.5</v>
      </c>
      <c r="C33" s="12">
        <v>33.6</v>
      </c>
      <c r="D33" s="13">
        <v>14.5</v>
      </c>
    </row>
    <row r="34" spans="1:4" ht="14.4" thickBot="1" x14ac:dyDescent="0.3">
      <c r="A34" s="12">
        <v>96.01</v>
      </c>
      <c r="B34" s="13">
        <v>0</v>
      </c>
      <c r="C34" s="12">
        <v>33.799999999999997</v>
      </c>
      <c r="D34" s="13">
        <v>15</v>
      </c>
    </row>
  </sheetData>
  <phoneticPr fontId="7" type="noConversion"/>
  <pageMargins left="0.75" right="0.75" top="1" bottom="1" header="0.5" footer="0.5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581914-0511-423A-B558-1FF67970BA91}">
  <sheetPr codeName="Sheet11">
    <pageSetUpPr fitToPage="1"/>
  </sheetPr>
  <dimension ref="A1:J310"/>
  <sheetViews>
    <sheetView zoomScale="80" zoomScaleNormal="80" workbookViewId="0">
      <selection activeCell="J24" sqref="J24"/>
    </sheetView>
  </sheetViews>
  <sheetFormatPr defaultColWidth="8.69921875" defaultRowHeight="14.4" x14ac:dyDescent="0.3"/>
  <cols>
    <col min="1" max="1" width="25.69921875" style="14" customWidth="1"/>
    <col min="2" max="2" width="22" style="14" customWidth="1"/>
    <col min="3" max="3" width="25.69921875" style="14" customWidth="1"/>
    <col min="4" max="4" width="12.69921875" style="35" customWidth="1"/>
    <col min="5" max="7" width="15.69921875" style="14" customWidth="1"/>
    <col min="8" max="8" width="16.09765625" style="14" customWidth="1"/>
    <col min="9" max="9" width="0" style="14" hidden="1" customWidth="1"/>
    <col min="10" max="10" width="8.69921875" style="14"/>
    <col min="11" max="11" width="6.3984375" style="14" customWidth="1"/>
    <col min="12" max="12" width="15.3984375" style="14" customWidth="1"/>
    <col min="13" max="16384" width="8.69921875" style="14"/>
  </cols>
  <sheetData>
    <row r="1" spans="1:10" ht="23.4" x14ac:dyDescent="0.45">
      <c r="A1" s="43"/>
      <c r="B1" s="44" t="s">
        <v>5</v>
      </c>
      <c r="C1" s="43"/>
      <c r="D1" s="45"/>
      <c r="E1" s="43"/>
      <c r="F1" s="43"/>
      <c r="G1" s="43"/>
    </row>
    <row r="2" spans="1:10" x14ac:dyDescent="0.3">
      <c r="A2" s="43"/>
      <c r="B2" s="43"/>
      <c r="C2" s="43"/>
      <c r="D2" s="45"/>
      <c r="E2" s="43"/>
      <c r="F2" s="43"/>
      <c r="G2" s="43"/>
    </row>
    <row r="3" spans="1:10" ht="15.6" x14ac:dyDescent="0.3">
      <c r="A3" s="43"/>
      <c r="B3" s="46" t="s">
        <v>6</v>
      </c>
      <c r="C3" s="43"/>
      <c r="D3" s="45"/>
      <c r="E3" s="43"/>
      <c r="F3" s="43"/>
      <c r="G3" s="43"/>
    </row>
    <row r="4" spans="1:10" ht="15.6" x14ac:dyDescent="0.3">
      <c r="A4" s="46"/>
      <c r="B4" s="46" t="s">
        <v>7</v>
      </c>
      <c r="C4" s="43"/>
      <c r="D4" s="45"/>
      <c r="E4" s="43"/>
      <c r="F4" s="43"/>
      <c r="G4" s="43"/>
    </row>
    <row r="5" spans="1:10" ht="15.6" x14ac:dyDescent="0.3">
      <c r="A5" s="46"/>
      <c r="B5" s="43"/>
      <c r="C5" s="43"/>
      <c r="D5" s="45"/>
      <c r="E5" s="43"/>
      <c r="F5" s="43"/>
      <c r="G5" s="43"/>
    </row>
    <row r="6" spans="1:10" s="4" customFormat="1" ht="21" x14ac:dyDescent="0.4">
      <c r="A6" s="47" t="s">
        <v>8</v>
      </c>
      <c r="B6" s="61" t="s">
        <v>61</v>
      </c>
      <c r="C6" s="61"/>
      <c r="D6" s="48"/>
      <c r="E6" s="47" t="s">
        <v>9</v>
      </c>
      <c r="F6" s="60">
        <v>46068</v>
      </c>
      <c r="G6" s="60"/>
      <c r="I6" s="15"/>
    </row>
    <row r="7" spans="1:10" s="4" customFormat="1" ht="21" x14ac:dyDescent="0.4">
      <c r="A7" s="47" t="s">
        <v>10</v>
      </c>
      <c r="B7" s="61" t="s">
        <v>60</v>
      </c>
      <c r="C7" s="61"/>
      <c r="D7" s="49"/>
      <c r="E7" s="47" t="s">
        <v>11</v>
      </c>
      <c r="F7" s="62">
        <v>75</v>
      </c>
      <c r="G7" s="62"/>
      <c r="H7" s="31"/>
      <c r="I7" s="15"/>
    </row>
    <row r="8" spans="1:10" hidden="1" x14ac:dyDescent="0.3">
      <c r="A8" s="43" t="str">
        <f>Open[[#Headers],[RIDER]]</f>
        <v>RIDER</v>
      </c>
      <c r="B8" s="43" t="str">
        <f>Open[[#Headers],[TREC GB '#/ CLUB '#]]</f>
        <v>TREC GB #/ CLUB #</v>
      </c>
      <c r="C8" s="43" t="str">
        <f>LEFT(Open[[#Headers],[HORSE
(very important)]],5)</f>
        <v>HORSE</v>
      </c>
      <c r="D8" s="45" t="str">
        <f>Open[[#Headers],[POSITION]]</f>
        <v>POSITION</v>
      </c>
      <c r="E8" s="43" t="str">
        <f>Open[[#Headers],[GRAND TOTAL]]</f>
        <v>GRAND TOTAL</v>
      </c>
      <c r="F8" s="43" t="str">
        <f>Open[[#Headers],[MA TOTAL]]</f>
        <v>MA TOTAL</v>
      </c>
      <c r="G8" s="43" t="str">
        <f>Open[[#Headers],[PTV TOTAL]]</f>
        <v>PTV TOTAL</v>
      </c>
      <c r="H8" s="40"/>
    </row>
    <row r="9" spans="1:10" hidden="1" x14ac:dyDescent="0.3">
      <c r="A9" s="43" t="str">
        <f>Open!C7&amp;" "&amp;Open!D7</f>
        <v>CLASS: Open</v>
      </c>
      <c r="B9" s="50" t="s">
        <v>12</v>
      </c>
      <c r="C9" s="50" t="s">
        <v>12</v>
      </c>
      <c r="D9" s="51" t="s">
        <v>12</v>
      </c>
      <c r="E9" s="50" t="s">
        <v>12</v>
      </c>
      <c r="F9" s="50" t="s">
        <v>12</v>
      </c>
      <c r="G9" s="50" t="s">
        <v>12</v>
      </c>
      <c r="H9" s="40" t="e" cm="1" vm="1">
        <f t="array" aca="1" ref="H9" ca="1">((IF(ISERROR(_xlfn._xlws.SORT(_xlfn._xlws.FILTER(_xlfn.CHOOSECOLS(Open[],3,4,6,7,8,9,10),_xlfn.CHOOSECOLS(Open[],3)&lt;&gt;0),4,1))=TRUE,"No data")))</f>
        <v>#VALUE!</v>
      </c>
      <c r="J9" s="14" t="s">
        <v>13</v>
      </c>
    </row>
    <row r="10" spans="1:10" hidden="1" x14ac:dyDescent="0.3">
      <c r="A10" s="43" t="str">
        <f>'Open Int'!C7&amp;" "&amp;'Open Int'!D7</f>
        <v>CLASS: Open Intermediate</v>
      </c>
      <c r="B10" s="50" t="s">
        <v>12</v>
      </c>
      <c r="C10" s="50" t="s">
        <v>12</v>
      </c>
      <c r="D10" s="51" t="s">
        <v>12</v>
      </c>
      <c r="E10" s="50" t="s">
        <v>12</v>
      </c>
      <c r="F10" s="50" t="s">
        <v>12</v>
      </c>
      <c r="G10" s="50" t="s">
        <v>12</v>
      </c>
      <c r="H10" s="40" t="e" cm="1" vm="2">
        <f t="array" aca="1" ref="H10" ca="1">((IF(ISERROR(_xlfn._xlws.SORT(_xlfn._xlws.FILTER(_xlfn.CHOOSECOLS(OpenInt[],3,4,6,7,8,9,10),_xlfn.CHOOSECOLS(OpenInt[],3)&lt;&gt;0),4,1))=TRUE,"No data")))</f>
        <v>#VALUE!</v>
      </c>
      <c r="J10" s="14" t="s">
        <v>13</v>
      </c>
    </row>
    <row r="11" spans="1:10" hidden="1" x14ac:dyDescent="0.3">
      <c r="A11" s="43" t="str">
        <f>Intermediate!C7&amp;" "&amp;Intermediate!D7</f>
        <v>CLASS: Intermediate</v>
      </c>
      <c r="B11" s="50" t="s">
        <v>12</v>
      </c>
      <c r="C11" s="50" t="s">
        <v>12</v>
      </c>
      <c r="D11" s="51" t="s">
        <v>12</v>
      </c>
      <c r="E11" s="50" t="s">
        <v>12</v>
      </c>
      <c r="F11" s="50" t="s">
        <v>12</v>
      </c>
      <c r="G11" s="50" t="s">
        <v>12</v>
      </c>
      <c r="H11" s="40" t="e" cm="1" vm="3">
        <f t="array" aca="1" ref="H11" ca="1">((IF(ISERROR(_xlfn._xlws.SORT(_xlfn._xlws.FILTER(_xlfn.CHOOSECOLS(Interm[],3,4,6,7,8,9,10),_xlfn.CHOOSECOLS(Interm[],3)&lt;&gt;0),4,1))=TRUE,"No data")))</f>
        <v>#VALUE!</v>
      </c>
      <c r="J11" s="14" t="s">
        <v>13</v>
      </c>
    </row>
    <row r="12" spans="1:10" hidden="1" x14ac:dyDescent="0.3">
      <c r="A12" s="43" t="str">
        <f>Novice!C7&amp;" "&amp;Novice!D7</f>
        <v>CLASS: Novice Horse</v>
      </c>
      <c r="B12" s="50" t="s">
        <v>12</v>
      </c>
      <c r="C12" s="50" t="s">
        <v>12</v>
      </c>
      <c r="D12" s="51" t="s">
        <v>12</v>
      </c>
      <c r="E12" s="50" t="s">
        <v>12</v>
      </c>
      <c r="F12" s="50" t="s">
        <v>12</v>
      </c>
      <c r="G12" s="50" t="s">
        <v>12</v>
      </c>
      <c r="H12" s="40" t="e" cm="1" vm="4">
        <f t="array" aca="1" ref="H12" ca="1">((IF(ISERROR(_xlfn._xlws.SORT(_xlfn._xlws.FILTER(_xlfn.CHOOSECOLS(Novice[],3,4,6,7,8,9,10),_xlfn.CHOOSECOLS(Novice[],3)&lt;&gt;0),4,1))=TRUE,"No data")))</f>
        <v>#VALUE!</v>
      </c>
      <c r="J12" s="14" t="s">
        <v>13</v>
      </c>
    </row>
    <row r="13" spans="1:10" hidden="1" x14ac:dyDescent="0.3">
      <c r="A13" s="43" t="str">
        <f>Newcomers!C7&amp;" "&amp;Newcomers!D7</f>
        <v>CLASS: Newcomers</v>
      </c>
      <c r="B13" s="50" t="s">
        <v>12</v>
      </c>
      <c r="C13" s="50" t="s">
        <v>12</v>
      </c>
      <c r="D13" s="51" t="s">
        <v>12</v>
      </c>
      <c r="E13" s="50" t="s">
        <v>12</v>
      </c>
      <c r="F13" s="50" t="s">
        <v>12</v>
      </c>
      <c r="G13" s="50" t="s">
        <v>12</v>
      </c>
      <c r="H13" s="40" t="e" cm="1" vm="4">
        <f t="array" aca="1" ref="H13" ca="1">((IF(ISERROR(_xlfn._xlws.SORT(_xlfn._xlws.FILTER(_xlfn.CHOOSECOLS(Newc[],3,4,6,7,8,9,10),_xlfn.CHOOSECOLS(Newc[],3)&lt;&gt;0),4,1))=TRUE,"No data")))</f>
        <v>#VALUE!</v>
      </c>
      <c r="J13" s="14" t="s">
        <v>13</v>
      </c>
    </row>
    <row r="14" spans="1:10" hidden="1" x14ac:dyDescent="0.3">
      <c r="A14" s="43" t="str">
        <f>Inhand!C7&amp;" "&amp;Inhand!D7</f>
        <v>CLASS: In Hand</v>
      </c>
      <c r="B14" s="50" t="s">
        <v>12</v>
      </c>
      <c r="C14" s="50" t="s">
        <v>12</v>
      </c>
      <c r="D14" s="51" t="s">
        <v>12</v>
      </c>
      <c r="E14" s="50" t="s">
        <v>12</v>
      </c>
      <c r="F14" s="50" t="s">
        <v>12</v>
      </c>
      <c r="G14" s="50" t="s">
        <v>12</v>
      </c>
      <c r="H14" s="40" t="e" cm="1" vm="1">
        <f t="array" aca="1" ref="H14" ca="1">((IF(ISERROR(_xlfn._xlws.SORT(_xlfn._xlws.FILTER(_xlfn.CHOOSECOLS(Table6[],3,4,6,7,8,9,10),_xlfn.CHOOSECOLS(Table6[],3)&lt;&gt;0),4,1))=TRUE,"No data")))</f>
        <v>#VALUE!</v>
      </c>
      <c r="J14" s="14" t="s">
        <v>13</v>
      </c>
    </row>
    <row r="15" spans="1:10" hidden="1" x14ac:dyDescent="0.3">
      <c r="A15" s="43" t="str">
        <f>Starter!C7&amp;" "&amp;Starter!D7</f>
        <v>CLASS: Starters</v>
      </c>
      <c r="B15" s="50" t="s">
        <v>12</v>
      </c>
      <c r="C15" s="50" t="s">
        <v>12</v>
      </c>
      <c r="D15" s="51" t="s">
        <v>12</v>
      </c>
      <c r="E15" s="50" t="s">
        <v>12</v>
      </c>
      <c r="F15" s="50" t="s">
        <v>12</v>
      </c>
      <c r="G15" s="50" t="s">
        <v>12</v>
      </c>
      <c r="H15" s="40" t="e" cm="1" vm="5">
        <f t="array" aca="1" ref="H15" ca="1">((IF(ISERROR(_xlfn._xlws.SORT(_xlfn._xlws.FILTER(_xlfn.CHOOSECOLS(Table7[],3,4,6,7,8,9,10),_xlfn.CHOOSECOLS(Table7[],3)&lt;&gt;0),4,1))=TRUE,"No data")))</f>
        <v>#VALUE!</v>
      </c>
      <c r="J15" s="14" t="s">
        <v>13</v>
      </c>
    </row>
    <row r="16" spans="1:10" hidden="1" x14ac:dyDescent="0.3">
      <c r="A16" s="43" t="str">
        <f>'Class 8'!C7&amp;" "&amp;'Class 8'!D7</f>
        <v>CLASS: Class 8</v>
      </c>
      <c r="B16" s="50" t="s">
        <v>12</v>
      </c>
      <c r="C16" s="50" t="s">
        <v>12</v>
      </c>
      <c r="D16" s="51" t="s">
        <v>12</v>
      </c>
      <c r="E16" s="50" t="s">
        <v>12</v>
      </c>
      <c r="F16" s="50" t="s">
        <v>12</v>
      </c>
      <c r="G16" s="50" t="s">
        <v>12</v>
      </c>
      <c r="H16" s="40" t="str" cm="1">
        <f t="array" ref="H16">((IF(ISERROR(_xlfn._xlws.SORT(_xlfn._xlws.FILTER(_xlfn.CHOOSECOLS(Table8[],3,4,6,7,8,9,10),_xlfn.CHOOSECOLS(Table8[],3)&lt;&gt;0),4,1))=TRUE,"No data")))</f>
        <v>No data</v>
      </c>
      <c r="J16" s="14" t="s">
        <v>13</v>
      </c>
    </row>
    <row r="17" spans="1:10" hidden="1" x14ac:dyDescent="0.3">
      <c r="A17" s="43" t="str">
        <f>'Class 9'!C7&amp;" "&amp;'Class 9'!D7</f>
        <v>CLASS: Class 9</v>
      </c>
      <c r="B17" s="50" t="s">
        <v>12</v>
      </c>
      <c r="C17" s="50" t="s">
        <v>12</v>
      </c>
      <c r="D17" s="51" t="s">
        <v>12</v>
      </c>
      <c r="E17" s="50" t="s">
        <v>12</v>
      </c>
      <c r="F17" s="50" t="s">
        <v>12</v>
      </c>
      <c r="G17" s="50" t="s">
        <v>12</v>
      </c>
      <c r="H17" s="40" t="str" cm="1">
        <f t="array" ref="H17">((IF(ISERROR(_xlfn._xlws.SORT(_xlfn._xlws.FILTER(_xlfn.CHOOSECOLS(Table9[],3,4,6,7,8,9,10),_xlfn.CHOOSECOLS(Table9[],3)&lt;&gt;0),4,1))=TRUE,"No data")))</f>
        <v>No data</v>
      </c>
      <c r="J17" s="14" t="s">
        <v>13</v>
      </c>
    </row>
    <row r="18" spans="1:10" hidden="1" x14ac:dyDescent="0.3">
      <c r="A18" s="43" t="str">
        <f>'Class 10'!C7&amp;" "&amp;'Class 10'!D7</f>
        <v>CLASS: Class 10</v>
      </c>
      <c r="B18" s="50" t="s">
        <v>12</v>
      </c>
      <c r="C18" s="50" t="s">
        <v>12</v>
      </c>
      <c r="D18" s="51" t="s">
        <v>12</v>
      </c>
      <c r="E18" s="50" t="s">
        <v>12</v>
      </c>
      <c r="F18" s="50" t="s">
        <v>12</v>
      </c>
      <c r="G18" s="50" t="s">
        <v>12</v>
      </c>
      <c r="H18" s="40" t="str" cm="1">
        <f t="array" ref="H18">((IF(ISERROR(_xlfn._xlws.SORT(_xlfn._xlws.FILTER(_xlfn.CHOOSECOLS(Table10[],3,4,6,7,8,9,10),_xlfn.CHOOSECOLS(Table10[],3)&lt;&gt;0),4,1))=TRUE,"No data")))</f>
        <v>No data</v>
      </c>
      <c r="J18" s="14" t="s">
        <v>13</v>
      </c>
    </row>
    <row r="19" spans="1:10" hidden="1" x14ac:dyDescent="0.3">
      <c r="A19" s="50">
        <v>0</v>
      </c>
      <c r="B19" s="50" t="s">
        <v>12</v>
      </c>
      <c r="C19" s="50" t="s">
        <v>12</v>
      </c>
      <c r="D19" s="51" t="s">
        <v>12</v>
      </c>
      <c r="E19" s="50" t="s">
        <v>12</v>
      </c>
      <c r="F19" s="50" t="s">
        <v>12</v>
      </c>
      <c r="G19" s="50" t="s">
        <v>12</v>
      </c>
      <c r="H19" s="40"/>
      <c r="J19" s="14" t="s">
        <v>13</v>
      </c>
    </row>
    <row r="20" spans="1:10" hidden="1" x14ac:dyDescent="0.3">
      <c r="A20" s="43"/>
      <c r="B20" s="43"/>
      <c r="C20" s="43"/>
      <c r="D20" s="45"/>
      <c r="E20" s="43"/>
      <c r="F20" s="43"/>
      <c r="G20" s="43"/>
    </row>
    <row r="21" spans="1:10" ht="17.399999999999999" x14ac:dyDescent="0.35">
      <c r="A21" s="36" t="str" cm="1">
        <f t="array" aca="1" ref="A21:G94" ca="1">_xlfn.VSTACK(IF(ISERROR(H9)=FALSE,Blank,_xlfn.VSTACK(Class1,Headers)),IFERROR(_xlfn._xlws.SORT(_xlfn._xlws.FILTER(_xlfn.CHOOSECOLS(Open[],3,4,6,7,8,9,10),_xlfn.CHOOSECOLS(Open[],3)&lt;&gt;0),4,1),Blank),
IF(ISERROR(H10)=FALSE,Blank,_xlfn.VSTACK(Blank,Class2,Headers)),IFERROR(_xlfn._xlws.SORT(_xlfn._xlws.FILTER(_xlfn.CHOOSECOLS(OpenInt[],3,4,6,7,8,9,10),_xlfn.CHOOSECOLS(OpenInt[],3)&lt;&gt;0),4,1),Blank),
IF(ISERROR(H11)=FALSE,Blank,_xlfn.VSTACK(Blank,Class3,Headers)),IFERROR(_xlfn._xlws.SORT(_xlfn._xlws.FILTER(_xlfn.CHOOSECOLS(Interm[],3,4,6,7,8,9,10),_xlfn.CHOOSECOLS(Interm[],3)&lt;&gt;0),4,1),Blank),
IF(ISERROR(H12)=FALSE,Blank,_xlfn.VSTACK(Blank,Class4,Headers)),IFERROR(_xlfn._xlws.SORT(_xlfn._xlws.FILTER(_xlfn.CHOOSECOLS(Novice[],3,4,6,7,8,9,10),_xlfn.CHOOSECOLS(Novice[],3)&lt;&gt;0),4,1),Blank),
IF(ISERROR(H13)=FALSE,Blank,_xlfn.VSTACK(Blank,Class5,Headers)),IFERROR(_xlfn._xlws.SORT(_xlfn._xlws.FILTER(_xlfn.CHOOSECOLS(Newc[],3,4,6,7,8,9,10),_xlfn.CHOOSECOLS(Newc[],3)&lt;&gt;0),4,1),Blank),
IF(ISERROR(H14)=FALSE,Blank,_xlfn.VSTACK(Blank,Class6,Headers)),IFERROR(_xlfn._xlws.SORT(_xlfn._xlws.FILTER(_xlfn.CHOOSECOLS(Table6[],3,4,6,7,8,9,10),_xlfn.CHOOSECOLS(Table6[],3)&lt;&gt;0),4,1),Blank),
IF(ISERROR(H15)=FALSE,Blank,_xlfn.VSTACK(Blank,Class7,Headers)),IFERROR(_xlfn._xlws.SORT(_xlfn._xlws.FILTER(_xlfn.CHOOSECOLS(Table7[],3,4,6,7,8,9,10),_xlfn.CHOOSECOLS(Table7[],3)&lt;&gt;0),4,1),Blank),
IF(ISERROR(H16)=FALSE,Blank,_xlfn.VSTACK(Blank,Class8,Headers)),IFERROR(_xlfn._xlws.SORT(_xlfn._xlws.FILTER(_xlfn.CHOOSECOLS(Table8[],3,4,6,7,8,9,10),_xlfn.CHOOSECOLS(Table8[],3)&lt;&gt;0),4,1),Blank),
IF(ISERROR(H17)=FALSE,Blank,_xlfn.VSTACK(Blank,Class9,Headers)),IFERROR(_xlfn._xlws.SORT(_xlfn._xlws.FILTER(_xlfn.CHOOSECOLS(Table9[],3,4,6,7,8,9,10),_xlfn.CHOOSECOLS(Table9[],3)&lt;&gt;0),4,1),Blank),
IF(ISERROR(H18)=FALSE,Blank,_xlfn.VSTACK(Blank,Class10,Headers)),IFERROR(_xlfn._xlws.SORT(_xlfn._xlws.FILTER(_xlfn.CHOOSECOLS(Table10[],3,4,6,7,8,9,10),_xlfn.CHOOSECOLS(Table10[],3)&lt;&gt;0),4,1),Blank))</f>
        <v>CLASS: Open</v>
      </c>
      <c r="B21" s="37" t="str">
        <f ca="1"/>
        <v/>
      </c>
      <c r="C21" s="38" t="str">
        <f ca="1"/>
        <v/>
      </c>
      <c r="D21" s="37" t="str">
        <f ca="1"/>
        <v/>
      </c>
      <c r="E21" s="37" t="str">
        <f ca="1"/>
        <v/>
      </c>
      <c r="F21" s="37" t="str">
        <f ca="1"/>
        <v/>
      </c>
      <c r="G21" s="37" t="str">
        <f ca="1"/>
        <v/>
      </c>
    </row>
    <row r="22" spans="1:10" ht="17.399999999999999" x14ac:dyDescent="0.35">
      <c r="A22" s="36" t="str">
        <f ca="1"/>
        <v>RIDER</v>
      </c>
      <c r="B22" s="37" t="str">
        <f ca="1"/>
        <v>TREC GB #/ CLUB #</v>
      </c>
      <c r="C22" s="38" t="str">
        <f ca="1"/>
        <v>HORSE</v>
      </c>
      <c r="D22" s="37" t="str">
        <f ca="1"/>
        <v>POSITION</v>
      </c>
      <c r="E22" s="37" t="str">
        <f ca="1"/>
        <v>GRAND TOTAL</v>
      </c>
      <c r="F22" s="37" t="str">
        <f ca="1"/>
        <v>MA TOTAL</v>
      </c>
      <c r="G22" s="37" t="str">
        <f ca="1"/>
        <v>PTV TOTAL</v>
      </c>
    </row>
    <row r="23" spans="1:10" ht="17.399999999999999" x14ac:dyDescent="0.35">
      <c r="A23" s="36" t="str">
        <f ca="1"/>
        <v>Becky Eggs</v>
      </c>
      <c r="B23" s="37" t="str">
        <f ca="1"/>
        <v>R25-01873</v>
      </c>
      <c r="C23" s="38" t="str">
        <f ca="1"/>
        <v>One Style</v>
      </c>
      <c r="D23" s="37">
        <f ca="1"/>
        <v>1</v>
      </c>
      <c r="E23" s="53">
        <f ca="1"/>
        <v>120</v>
      </c>
      <c r="F23" s="53">
        <f ca="1"/>
        <v>23</v>
      </c>
      <c r="G23" s="53">
        <f ca="1"/>
        <v>97</v>
      </c>
    </row>
    <row r="24" spans="1:10" ht="17.399999999999999" x14ac:dyDescent="0.35">
      <c r="A24" s="36" t="str">
        <f ca="1"/>
        <v>Anne Warner</v>
      </c>
      <c r="B24" s="37" t="str">
        <f ca="1"/>
        <v>B25-01219</v>
      </c>
      <c r="C24" s="38" t="str">
        <f ca="1"/>
        <v>Sunny (Sundae)</v>
      </c>
      <c r="D24" s="37">
        <f ca="1"/>
        <v>2</v>
      </c>
      <c r="E24" s="53">
        <f ca="1"/>
        <v>106</v>
      </c>
      <c r="F24" s="53">
        <f ca="1"/>
        <v>17</v>
      </c>
      <c r="G24" s="53">
        <f ca="1"/>
        <v>89</v>
      </c>
      <c r="J24" s="14" t="s">
        <v>121</v>
      </c>
    </row>
    <row r="25" spans="1:10" ht="17.399999999999999" x14ac:dyDescent="0.35">
      <c r="A25" s="36" t="str">
        <f ca="1"/>
        <v>Michelle Bowe</v>
      </c>
      <c r="B25" s="37" t="str">
        <f ca="1"/>
        <v>B25-01130</v>
      </c>
      <c r="C25" s="38" t="str">
        <f ca="1"/>
        <v>Flora</v>
      </c>
      <c r="D25" s="37">
        <f ca="1"/>
        <v>3</v>
      </c>
      <c r="E25" s="53">
        <f ca="1"/>
        <v>104</v>
      </c>
      <c r="F25" s="53">
        <f ca="1"/>
        <v>22</v>
      </c>
      <c r="G25" s="53">
        <f ca="1"/>
        <v>82</v>
      </c>
    </row>
    <row r="26" spans="1:10" ht="17.399999999999999" x14ac:dyDescent="0.35">
      <c r="A26" s="36" t="str">
        <f ca="1"/>
        <v>Helen Brophy</v>
      </c>
      <c r="B26" s="37" t="str">
        <f ca="1"/>
        <v>B23-00429</v>
      </c>
      <c r="C26" s="38" t="str">
        <f ca="1"/>
        <v>Emma</v>
      </c>
      <c r="D26" s="37">
        <f ca="1"/>
        <v>4</v>
      </c>
      <c r="E26" s="53">
        <f ca="1"/>
        <v>98.5</v>
      </c>
      <c r="F26" s="53">
        <f ca="1"/>
        <v>14.5</v>
      </c>
      <c r="G26" s="53">
        <f ca="1"/>
        <v>84</v>
      </c>
    </row>
    <row r="27" spans="1:10" ht="17.399999999999999" x14ac:dyDescent="0.35">
      <c r="A27" s="36" t="str">
        <f ca="1"/>
        <v>Nichola Peace</v>
      </c>
      <c r="B27" s="37" t="str">
        <f ca="1"/>
        <v>R25-00543</v>
      </c>
      <c r="C27" s="38" t="str">
        <f ca="1"/>
        <v>Ruhmann vom Toster Grund</v>
      </c>
      <c r="D27" s="37">
        <f ca="1"/>
        <v>5</v>
      </c>
      <c r="E27" s="53">
        <f ca="1"/>
        <v>97</v>
      </c>
      <c r="F27" s="53">
        <f ca="1"/>
        <v>0</v>
      </c>
      <c r="G27" s="53">
        <f ca="1"/>
        <v>97</v>
      </c>
    </row>
    <row r="28" spans="1:10" ht="17.399999999999999" x14ac:dyDescent="0.35">
      <c r="A28" s="36" t="str">
        <f ca="1"/>
        <v>Joanna Messenger</v>
      </c>
      <c r="B28" s="37" t="str">
        <f ca="1"/>
        <v>B00210</v>
      </c>
      <c r="C28" s="38" t="str">
        <f ca="1"/>
        <v>Stella</v>
      </c>
      <c r="D28" s="37">
        <f ca="1"/>
        <v>6</v>
      </c>
      <c r="E28" s="53">
        <f ca="1"/>
        <v>69</v>
      </c>
      <c r="F28" s="53">
        <f ca="1"/>
        <v>15</v>
      </c>
      <c r="G28" s="53">
        <f ca="1"/>
        <v>54</v>
      </c>
    </row>
    <row r="29" spans="1:10" ht="17.399999999999999" x14ac:dyDescent="0.35">
      <c r="A29" s="36" t="str">
        <f ca="1"/>
        <v>Sara Fogg</v>
      </c>
      <c r="B29" s="37" t="str">
        <f ca="1"/>
        <v>R25-02026</v>
      </c>
      <c r="C29" s="38" t="str">
        <f ca="1"/>
        <v>Overafrica</v>
      </c>
      <c r="D29" s="37">
        <f ca="1"/>
        <v>7</v>
      </c>
      <c r="E29" s="53">
        <f ca="1"/>
        <v>0</v>
      </c>
      <c r="F29" s="53">
        <f ca="1"/>
        <v>0</v>
      </c>
      <c r="G29" s="53">
        <f ca="1"/>
        <v>0</v>
      </c>
    </row>
    <row r="30" spans="1:10" ht="17.399999999999999" x14ac:dyDescent="0.35">
      <c r="A30" s="36">
        <f ca="1"/>
        <v>0</v>
      </c>
      <c r="B30" s="37" t="str">
        <f ca="1"/>
        <v/>
      </c>
      <c r="C30" s="38" t="str">
        <f ca="1"/>
        <v/>
      </c>
      <c r="D30" s="37" t="str">
        <f ca="1"/>
        <v/>
      </c>
      <c r="E30" s="53" t="str">
        <f ca="1"/>
        <v/>
      </c>
      <c r="F30" s="53" t="str">
        <f ca="1"/>
        <v/>
      </c>
      <c r="G30" s="53" t="str">
        <f ca="1"/>
        <v/>
      </c>
    </row>
    <row r="31" spans="1:10" ht="17.399999999999999" x14ac:dyDescent="0.35">
      <c r="A31" s="36" t="str">
        <f ca="1"/>
        <v>CLASS: Open Intermediate</v>
      </c>
      <c r="B31" s="37" t="str">
        <f ca="1"/>
        <v/>
      </c>
      <c r="C31" s="38" t="str">
        <f ca="1"/>
        <v/>
      </c>
      <c r="D31" s="37" t="str">
        <f ca="1"/>
        <v/>
      </c>
      <c r="E31" s="53" t="str">
        <f ca="1"/>
        <v/>
      </c>
      <c r="F31" s="53" t="str">
        <f ca="1"/>
        <v/>
      </c>
      <c r="G31" s="53" t="str">
        <f ca="1"/>
        <v/>
      </c>
    </row>
    <row r="32" spans="1:10" ht="17.399999999999999" x14ac:dyDescent="0.35">
      <c r="A32" s="36" t="str">
        <f ca="1"/>
        <v>RIDER</v>
      </c>
      <c r="B32" s="37" t="str">
        <f ca="1"/>
        <v>TREC GB #/ CLUB #</v>
      </c>
      <c r="C32" s="38" t="str">
        <f ca="1"/>
        <v>HORSE</v>
      </c>
      <c r="D32" s="37" t="str">
        <f ca="1"/>
        <v>POSITION</v>
      </c>
      <c r="E32" s="53" t="str">
        <f ca="1"/>
        <v>GRAND TOTAL</v>
      </c>
      <c r="F32" s="53" t="str">
        <f ca="1"/>
        <v>MA TOTAL</v>
      </c>
      <c r="G32" s="53" t="str">
        <f ca="1"/>
        <v>PTV TOTAL</v>
      </c>
    </row>
    <row r="33" spans="1:7" ht="17.399999999999999" x14ac:dyDescent="0.35">
      <c r="A33" s="36" t="str">
        <f ca="1"/>
        <v>Nichola Peace</v>
      </c>
      <c r="B33" s="37" t="str">
        <f ca="1"/>
        <v>R25-00543</v>
      </c>
      <c r="C33" s="38" t="str">
        <f ca="1"/>
        <v>Ruhmann vom Toster Grund</v>
      </c>
      <c r="D33" s="37">
        <f ca="1"/>
        <v>1</v>
      </c>
      <c r="E33" s="53">
        <f ca="1"/>
        <v>114</v>
      </c>
      <c r="F33" s="53">
        <f ca="1"/>
        <v>17</v>
      </c>
      <c r="G33" s="53">
        <f ca="1"/>
        <v>97</v>
      </c>
    </row>
    <row r="34" spans="1:7" ht="17.399999999999999" x14ac:dyDescent="0.35">
      <c r="A34" s="36" t="str">
        <f ca="1"/>
        <v>Anne Warner</v>
      </c>
      <c r="B34" s="37" t="str">
        <f ca="1"/>
        <v>B25-01219</v>
      </c>
      <c r="C34" s="38" t="str">
        <f ca="1"/>
        <v>Sunny (Sundae)</v>
      </c>
      <c r="D34" s="37">
        <f ca="1"/>
        <v>2</v>
      </c>
      <c r="E34" s="53">
        <f ca="1"/>
        <v>112</v>
      </c>
      <c r="F34" s="53">
        <f ca="1"/>
        <v>18</v>
      </c>
      <c r="G34" s="53">
        <f ca="1"/>
        <v>94</v>
      </c>
    </row>
    <row r="35" spans="1:7" ht="17.399999999999999" x14ac:dyDescent="0.35">
      <c r="A35" s="36" t="str">
        <f ca="1"/>
        <v>Becky Eggs</v>
      </c>
      <c r="B35" s="37" t="str">
        <f ca="1"/>
        <v>R25-01873</v>
      </c>
      <c r="C35" s="38" t="str">
        <f ca="1"/>
        <v>One Style</v>
      </c>
      <c r="D35" s="37">
        <f ca="1"/>
        <v>3</v>
      </c>
      <c r="E35" s="53">
        <f ca="1"/>
        <v>99</v>
      </c>
      <c r="F35" s="53">
        <f ca="1"/>
        <v>23</v>
      </c>
      <c r="G35" s="53">
        <f ca="1"/>
        <v>76</v>
      </c>
    </row>
    <row r="36" spans="1:7" ht="17.399999999999999" x14ac:dyDescent="0.35">
      <c r="A36" s="36" t="str">
        <f ca="1"/>
        <v>Michelle Bowe</v>
      </c>
      <c r="B36" s="37" t="str">
        <f ca="1"/>
        <v>B25-01130</v>
      </c>
      <c r="C36" s="38" t="str">
        <f ca="1"/>
        <v>Flora</v>
      </c>
      <c r="D36" s="37">
        <f ca="1"/>
        <v>4</v>
      </c>
      <c r="E36" s="53">
        <f ca="1"/>
        <v>97</v>
      </c>
      <c r="F36" s="53">
        <f ca="1"/>
        <v>21</v>
      </c>
      <c r="G36" s="53">
        <f ca="1"/>
        <v>76</v>
      </c>
    </row>
    <row r="37" spans="1:7" ht="17.399999999999999" x14ac:dyDescent="0.35">
      <c r="A37" s="36" t="str">
        <f ca="1"/>
        <v>Debbie Hodder</v>
      </c>
      <c r="B37" s="37">
        <f ca="1"/>
        <v>0</v>
      </c>
      <c r="C37" s="38" t="str">
        <f ca="1"/>
        <v>TinTin</v>
      </c>
      <c r="D37" s="37">
        <f ca="1"/>
        <v>5</v>
      </c>
      <c r="E37" s="53">
        <f ca="1"/>
        <v>94.5</v>
      </c>
      <c r="F37" s="53">
        <f ca="1"/>
        <v>7.5</v>
      </c>
      <c r="G37" s="53">
        <f ca="1"/>
        <v>87</v>
      </c>
    </row>
    <row r="38" spans="1:7" ht="17.399999999999999" x14ac:dyDescent="0.35">
      <c r="A38" s="36" t="str">
        <f ca="1"/>
        <v>Joanna Messenger</v>
      </c>
      <c r="B38" s="37" t="str">
        <f ca="1"/>
        <v>B00210</v>
      </c>
      <c r="C38" s="38" t="str">
        <f ca="1"/>
        <v>Stella</v>
      </c>
      <c r="D38" s="37">
        <f ca="1"/>
        <v>6</v>
      </c>
      <c r="E38" s="53">
        <f ca="1"/>
        <v>92.5</v>
      </c>
      <c r="F38" s="53">
        <f ca="1"/>
        <v>11.5</v>
      </c>
      <c r="G38" s="53">
        <f ca="1"/>
        <v>81</v>
      </c>
    </row>
    <row r="39" spans="1:7" ht="17.399999999999999" x14ac:dyDescent="0.35">
      <c r="A39" s="36" t="str">
        <f ca="1"/>
        <v>Izzy France</v>
      </c>
      <c r="B39" s="37" t="str">
        <f ca="1"/>
        <v>R24-00054</v>
      </c>
      <c r="C39" s="38" t="str">
        <f ca="1"/>
        <v>Drumalt Alfey</v>
      </c>
      <c r="D39" s="37">
        <f ca="1"/>
        <v>7</v>
      </c>
      <c r="E39" s="53">
        <f ca="1"/>
        <v>92</v>
      </c>
      <c r="F39" s="53">
        <f ca="1"/>
        <v>15</v>
      </c>
      <c r="G39" s="53">
        <f ca="1"/>
        <v>77</v>
      </c>
    </row>
    <row r="40" spans="1:7" ht="17.399999999999999" x14ac:dyDescent="0.35">
      <c r="A40" s="36" t="str">
        <f ca="1"/>
        <v>Nadine Pinchin</v>
      </c>
      <c r="B40" s="37" t="str">
        <f ca="1"/>
        <v>R24-01506</v>
      </c>
      <c r="C40" s="38" t="str">
        <f ca="1"/>
        <v>Charlie</v>
      </c>
      <c r="D40" s="37">
        <f ca="1"/>
        <v>8</v>
      </c>
      <c r="E40" s="53">
        <f ca="1"/>
        <v>83</v>
      </c>
      <c r="F40" s="53">
        <f ca="1"/>
        <v>2</v>
      </c>
      <c r="G40" s="53">
        <f ca="1"/>
        <v>81</v>
      </c>
    </row>
    <row r="41" spans="1:7" ht="17.399999999999999" x14ac:dyDescent="0.35">
      <c r="A41" s="36" t="str">
        <f ca="1"/>
        <v>Helen Brophy</v>
      </c>
      <c r="B41" s="37" t="str">
        <f ca="1"/>
        <v>B23-00429</v>
      </c>
      <c r="C41" s="38" t="str">
        <f ca="1"/>
        <v>Emma</v>
      </c>
      <c r="D41" s="37">
        <f ca="1"/>
        <v>9</v>
      </c>
      <c r="E41" s="53">
        <f ca="1"/>
        <v>80</v>
      </c>
      <c r="F41" s="53">
        <f ca="1"/>
        <v>14</v>
      </c>
      <c r="G41" s="53">
        <f ca="1"/>
        <v>66</v>
      </c>
    </row>
    <row r="42" spans="1:7" ht="17.399999999999999" x14ac:dyDescent="0.35">
      <c r="A42" s="36" t="str">
        <f ca="1"/>
        <v>Sara Fogg</v>
      </c>
      <c r="B42" s="37" t="str">
        <f ca="1"/>
        <v>R25-02026</v>
      </c>
      <c r="C42" s="38" t="str">
        <f ca="1"/>
        <v>Overafrica</v>
      </c>
      <c r="D42" s="37">
        <f ca="1"/>
        <v>10</v>
      </c>
      <c r="E42" s="41">
        <f ca="1"/>
        <v>0</v>
      </c>
      <c r="F42" s="41">
        <f ca="1"/>
        <v>0</v>
      </c>
      <c r="G42" s="41">
        <f ca="1"/>
        <v>0</v>
      </c>
    </row>
    <row r="43" spans="1:7" ht="17.399999999999999" x14ac:dyDescent="0.35">
      <c r="A43" s="36">
        <f ca="1"/>
        <v>0</v>
      </c>
      <c r="B43" s="37" t="str">
        <f ca="1"/>
        <v/>
      </c>
      <c r="C43" s="38" t="str">
        <f ca="1"/>
        <v/>
      </c>
      <c r="D43" s="37" t="str">
        <f ca="1"/>
        <v/>
      </c>
      <c r="E43" s="41" t="str">
        <f ca="1"/>
        <v/>
      </c>
      <c r="F43" s="41" t="str">
        <f ca="1"/>
        <v/>
      </c>
      <c r="G43" s="41" t="str">
        <f ca="1"/>
        <v/>
      </c>
    </row>
    <row r="44" spans="1:7" ht="17.399999999999999" x14ac:dyDescent="0.35">
      <c r="A44" s="36" t="str">
        <f ca="1"/>
        <v>CLASS: Intermediate</v>
      </c>
      <c r="B44" s="37" t="str">
        <f ca="1"/>
        <v/>
      </c>
      <c r="C44" s="38" t="str">
        <f ca="1"/>
        <v/>
      </c>
      <c r="D44" s="37" t="str">
        <f ca="1"/>
        <v/>
      </c>
      <c r="E44" s="41" t="str">
        <f ca="1"/>
        <v/>
      </c>
      <c r="F44" s="41" t="str">
        <f ca="1"/>
        <v/>
      </c>
      <c r="G44" s="41" t="str">
        <f ca="1"/>
        <v/>
      </c>
    </row>
    <row r="45" spans="1:7" ht="17.399999999999999" x14ac:dyDescent="0.35">
      <c r="A45" s="36" t="str">
        <f ca="1"/>
        <v>RIDER</v>
      </c>
      <c r="B45" s="37" t="str">
        <f ca="1"/>
        <v>TREC GB #/ CLUB #</v>
      </c>
      <c r="C45" s="38" t="str">
        <f ca="1"/>
        <v>HORSE</v>
      </c>
      <c r="D45" s="37" t="str">
        <f ca="1"/>
        <v>POSITION</v>
      </c>
      <c r="E45" s="41" t="str">
        <f ca="1"/>
        <v>GRAND TOTAL</v>
      </c>
      <c r="F45" s="41" t="str">
        <f ca="1"/>
        <v>MA TOTAL</v>
      </c>
      <c r="G45" s="41" t="str">
        <f ca="1"/>
        <v>PTV TOTAL</v>
      </c>
    </row>
    <row r="46" spans="1:7" ht="17.399999999999999" x14ac:dyDescent="0.35">
      <c r="A46" s="36" t="str">
        <f ca="1"/>
        <v>Izzy France</v>
      </c>
      <c r="B46" s="37" t="str">
        <f ca="1"/>
        <v>R24-00054</v>
      </c>
      <c r="C46" s="38" t="str">
        <f ca="1"/>
        <v>Drumalt Alfey</v>
      </c>
      <c r="D46" s="37">
        <f ca="1"/>
        <v>1</v>
      </c>
      <c r="E46" s="41">
        <f ca="1"/>
        <v>100</v>
      </c>
      <c r="F46" s="41">
        <f ca="1"/>
        <v>15</v>
      </c>
      <c r="G46" s="41">
        <f ca="1"/>
        <v>85</v>
      </c>
    </row>
    <row r="47" spans="1:7" ht="17.399999999999999" x14ac:dyDescent="0.35">
      <c r="A47" s="36" t="str">
        <f ca="1"/>
        <v>Debbie Hodder</v>
      </c>
      <c r="B47" s="37">
        <f ca="1"/>
        <v>0</v>
      </c>
      <c r="C47" s="38" t="str">
        <f ca="1"/>
        <v>TinTin</v>
      </c>
      <c r="D47" s="37">
        <f ca="1"/>
        <v>2</v>
      </c>
      <c r="E47" s="41">
        <f ca="1"/>
        <v>89</v>
      </c>
      <c r="F47" s="41">
        <f ca="1"/>
        <v>0</v>
      </c>
      <c r="G47" s="41">
        <f ca="1"/>
        <v>89</v>
      </c>
    </row>
    <row r="48" spans="1:7" ht="17.399999999999999" x14ac:dyDescent="0.35">
      <c r="A48" s="36" t="str">
        <f ca="1"/>
        <v>jo Jenkinson</v>
      </c>
      <c r="B48" s="37" t="str">
        <f ca="1"/>
        <v>B22-00987</v>
      </c>
      <c r="C48" s="38" t="str">
        <f ca="1"/>
        <v>PollyAnna</v>
      </c>
      <c r="D48" s="37">
        <f ca="1"/>
        <v>3</v>
      </c>
      <c r="E48" s="41">
        <f ca="1"/>
        <v>89</v>
      </c>
      <c r="F48" s="41">
        <f ca="1"/>
        <v>11</v>
      </c>
      <c r="G48" s="41">
        <f ca="1"/>
        <v>78</v>
      </c>
    </row>
    <row r="49" spans="1:7" ht="17.399999999999999" x14ac:dyDescent="0.35">
      <c r="A49" s="36" t="str">
        <f ca="1"/>
        <v xml:space="preserve">Nadine Pinchin </v>
      </c>
      <c r="B49" s="37" t="str">
        <f ca="1"/>
        <v>R24-01506</v>
      </c>
      <c r="C49" s="38" t="str">
        <f ca="1"/>
        <v>Charlie</v>
      </c>
      <c r="D49" s="37">
        <f ca="1"/>
        <v>4</v>
      </c>
      <c r="E49" s="41">
        <f ca="1"/>
        <v>76</v>
      </c>
      <c r="F49" s="41">
        <f ca="1"/>
        <v>0</v>
      </c>
      <c r="G49" s="41">
        <f ca="1"/>
        <v>76</v>
      </c>
    </row>
    <row r="50" spans="1:7" ht="17.399999999999999" x14ac:dyDescent="0.35">
      <c r="A50" s="36" t="str">
        <f ca="1"/>
        <v>Joanna Messenger</v>
      </c>
      <c r="B50" s="37" t="str">
        <f ca="1"/>
        <v>B00210</v>
      </c>
      <c r="C50" s="38" t="str">
        <f ca="1"/>
        <v>Stella</v>
      </c>
      <c r="D50" s="37">
        <f ca="1"/>
        <v>5</v>
      </c>
      <c r="E50" s="41">
        <f ca="1"/>
        <v>64</v>
      </c>
      <c r="F50" s="41">
        <f ca="1"/>
        <v>0</v>
      </c>
      <c r="G50" s="41">
        <f ca="1"/>
        <v>64</v>
      </c>
    </row>
    <row r="51" spans="1:7" ht="17.399999999999999" x14ac:dyDescent="0.35">
      <c r="A51" s="36">
        <f ca="1"/>
        <v>0</v>
      </c>
      <c r="B51" s="37" t="str">
        <f ca="1"/>
        <v/>
      </c>
      <c r="C51" s="38" t="str">
        <f ca="1"/>
        <v/>
      </c>
      <c r="D51" s="37" t="str">
        <f ca="1"/>
        <v/>
      </c>
      <c r="E51" s="41" t="str">
        <f ca="1"/>
        <v/>
      </c>
      <c r="F51" s="41" t="str">
        <f ca="1"/>
        <v/>
      </c>
      <c r="G51" s="41" t="str">
        <f ca="1"/>
        <v/>
      </c>
    </row>
    <row r="52" spans="1:7" ht="17.399999999999999" x14ac:dyDescent="0.35">
      <c r="A52" s="36" t="str">
        <f ca="1"/>
        <v>CLASS: Novice Horse</v>
      </c>
      <c r="B52" s="37" t="str">
        <f ca="1"/>
        <v/>
      </c>
      <c r="C52" s="38" t="str">
        <f ca="1"/>
        <v/>
      </c>
      <c r="D52" s="37" t="str">
        <f ca="1"/>
        <v/>
      </c>
      <c r="E52" s="41" t="str">
        <f ca="1"/>
        <v/>
      </c>
      <c r="F52" s="41" t="str">
        <f ca="1"/>
        <v/>
      </c>
      <c r="G52" s="41" t="str">
        <f ca="1"/>
        <v/>
      </c>
    </row>
    <row r="53" spans="1:7" ht="17.399999999999999" x14ac:dyDescent="0.35">
      <c r="A53" s="36" t="str">
        <f ca="1"/>
        <v>RIDER</v>
      </c>
      <c r="B53" s="37" t="str">
        <f ca="1"/>
        <v>TREC GB #/ CLUB #</v>
      </c>
      <c r="C53" s="38" t="str">
        <f ca="1"/>
        <v>HORSE</v>
      </c>
      <c r="D53" s="37" t="str">
        <f ca="1"/>
        <v>POSITION</v>
      </c>
      <c r="E53" s="41" t="str">
        <f ca="1"/>
        <v>GRAND TOTAL</v>
      </c>
      <c r="F53" s="41" t="str">
        <f ca="1"/>
        <v>MA TOTAL</v>
      </c>
      <c r="G53" s="41" t="str">
        <f ca="1"/>
        <v>PTV TOTAL</v>
      </c>
    </row>
    <row r="54" spans="1:7" ht="17.399999999999999" x14ac:dyDescent="0.35">
      <c r="A54" s="36" t="str">
        <f ca="1"/>
        <v>Niki King</v>
      </c>
      <c r="B54" s="37" t="str">
        <f ca="1"/>
        <v>B00102</v>
      </c>
      <c r="C54" s="38" t="str">
        <f ca="1"/>
        <v>Bird</v>
      </c>
      <c r="D54" s="37">
        <f ca="1"/>
        <v>1</v>
      </c>
      <c r="E54" s="41">
        <f ca="1"/>
        <v>110</v>
      </c>
      <c r="F54" s="41">
        <f ca="1"/>
        <v>15</v>
      </c>
      <c r="G54" s="41">
        <f ca="1"/>
        <v>95</v>
      </c>
    </row>
    <row r="55" spans="1:7" ht="17.399999999999999" x14ac:dyDescent="0.35">
      <c r="A55" s="36" t="str">
        <f ca="1"/>
        <v>Nadine Pinchin</v>
      </c>
      <c r="B55" s="37" t="str">
        <f ca="1"/>
        <v>R24-01506</v>
      </c>
      <c r="C55" s="38" t="str">
        <f ca="1"/>
        <v>Gary</v>
      </c>
      <c r="D55" s="37">
        <f ca="1"/>
        <v>2</v>
      </c>
      <c r="E55" s="41">
        <f ca="1"/>
        <v>100.5</v>
      </c>
      <c r="F55" s="41">
        <f ca="1"/>
        <v>12.5</v>
      </c>
      <c r="G55" s="41">
        <f ca="1"/>
        <v>88</v>
      </c>
    </row>
    <row r="56" spans="1:7" ht="17.399999999999999" x14ac:dyDescent="0.35">
      <c r="A56" s="36" t="str">
        <f ca="1"/>
        <v>Jo Jenkinson</v>
      </c>
      <c r="B56" s="37" t="str">
        <f ca="1"/>
        <v>B22-00987</v>
      </c>
      <c r="C56" s="38" t="str">
        <f ca="1"/>
        <v>PollyAnna</v>
      </c>
      <c r="D56" s="37">
        <f ca="1"/>
        <v>3</v>
      </c>
      <c r="E56" s="41">
        <f ca="1"/>
        <v>99.5</v>
      </c>
      <c r="F56" s="41">
        <f ca="1"/>
        <v>6.5</v>
      </c>
      <c r="G56" s="41">
        <f ca="1"/>
        <v>93</v>
      </c>
    </row>
    <row r="57" spans="1:7" ht="17.399999999999999" x14ac:dyDescent="0.35">
      <c r="A57" s="36" t="str">
        <f ca="1"/>
        <v>Izzy France</v>
      </c>
      <c r="B57" s="37" t="str">
        <f ca="1"/>
        <v>R24-00054</v>
      </c>
      <c r="C57" s="38" t="str">
        <f ca="1"/>
        <v>Drumalt Alfey</v>
      </c>
      <c r="D57" s="37">
        <f ca="1"/>
        <v>4</v>
      </c>
      <c r="E57" s="41">
        <f ca="1"/>
        <v>88</v>
      </c>
      <c r="F57" s="41">
        <f ca="1"/>
        <v>0</v>
      </c>
      <c r="G57" s="41">
        <f ca="1"/>
        <v>88</v>
      </c>
    </row>
    <row r="58" spans="1:7" ht="17.399999999999999" x14ac:dyDescent="0.35">
      <c r="A58" s="36" t="str">
        <f ca="1"/>
        <v>Megan Bennet</v>
      </c>
      <c r="B58" s="37">
        <f ca="1"/>
        <v>0</v>
      </c>
      <c r="C58" s="38" t="str">
        <f ca="1"/>
        <v>Rio</v>
      </c>
      <c r="D58" s="37">
        <f ca="1"/>
        <v>5</v>
      </c>
      <c r="E58" s="41">
        <f ca="1"/>
        <v>87</v>
      </c>
      <c r="F58" s="41">
        <f ca="1"/>
        <v>0</v>
      </c>
      <c r="G58" s="41">
        <f ca="1"/>
        <v>87</v>
      </c>
    </row>
    <row r="59" spans="1:7" ht="17.399999999999999" x14ac:dyDescent="0.35">
      <c r="A59" s="36" t="str">
        <f ca="1"/>
        <v>Charlotte Fleming</v>
      </c>
      <c r="B59" s="37" t="str">
        <f ca="1"/>
        <v>R26-01690</v>
      </c>
      <c r="C59" s="38" t="str">
        <f ca="1"/>
        <v>Ross</v>
      </c>
      <c r="D59" s="37">
        <f ca="1"/>
        <v>6</v>
      </c>
      <c r="E59" s="41">
        <f ca="1"/>
        <v>0</v>
      </c>
      <c r="F59" s="41">
        <f ca="1"/>
        <v>0</v>
      </c>
      <c r="G59" s="41">
        <f ca="1"/>
        <v>0</v>
      </c>
    </row>
    <row r="60" spans="1:7" ht="17.399999999999999" x14ac:dyDescent="0.35">
      <c r="A60" s="36" t="str">
        <f ca="1"/>
        <v>Claire Dovey</v>
      </c>
      <c r="B60" s="37" t="str">
        <f ca="1"/>
        <v>B25-01992</v>
      </c>
      <c r="C60" s="38" t="str">
        <f ca="1"/>
        <v>Mister Persica Bear</v>
      </c>
      <c r="D60" s="37">
        <f ca="1"/>
        <v>6</v>
      </c>
      <c r="E60" s="41">
        <f ca="1"/>
        <v>0</v>
      </c>
      <c r="F60" s="41">
        <f ca="1"/>
        <v>0</v>
      </c>
      <c r="G60" s="41">
        <f ca="1"/>
        <v>0</v>
      </c>
    </row>
    <row r="61" spans="1:7" ht="17.399999999999999" x14ac:dyDescent="0.35">
      <c r="A61" s="36" t="str">
        <f ca="1"/>
        <v>Caroline Cowley</v>
      </c>
      <c r="B61" s="37" t="str">
        <f ca="1"/>
        <v>B25-01985</v>
      </c>
      <c r="C61" s="38" t="str">
        <f ca="1"/>
        <v>Santa Ana Mist</v>
      </c>
      <c r="D61" s="37">
        <f ca="1"/>
        <v>6</v>
      </c>
      <c r="E61" s="41">
        <f ca="1"/>
        <v>0</v>
      </c>
      <c r="F61" s="41">
        <f ca="1"/>
        <v>0</v>
      </c>
      <c r="G61" s="41">
        <f ca="1"/>
        <v>0</v>
      </c>
    </row>
    <row r="62" spans="1:7" ht="17.399999999999999" x14ac:dyDescent="0.35">
      <c r="A62" s="36">
        <f ca="1"/>
        <v>0</v>
      </c>
      <c r="B62" s="37" t="str">
        <f ca="1"/>
        <v/>
      </c>
      <c r="C62" s="38" t="str">
        <f ca="1"/>
        <v/>
      </c>
      <c r="D62" s="37" t="str">
        <f ca="1"/>
        <v/>
      </c>
      <c r="E62" s="41" t="str">
        <f ca="1"/>
        <v/>
      </c>
      <c r="F62" s="41" t="str">
        <f ca="1"/>
        <v/>
      </c>
      <c r="G62" s="41" t="str">
        <f ca="1"/>
        <v/>
      </c>
    </row>
    <row r="63" spans="1:7" ht="17.399999999999999" x14ac:dyDescent="0.35">
      <c r="A63" s="36" t="str">
        <f ca="1"/>
        <v>CLASS: Newcomers</v>
      </c>
      <c r="B63" s="37" t="str">
        <f ca="1"/>
        <v/>
      </c>
      <c r="C63" s="38" t="str">
        <f ca="1"/>
        <v/>
      </c>
      <c r="D63" s="37" t="str">
        <f ca="1"/>
        <v/>
      </c>
      <c r="E63" s="41" t="str">
        <f ca="1"/>
        <v/>
      </c>
      <c r="F63" s="41" t="str">
        <f ca="1"/>
        <v/>
      </c>
      <c r="G63" s="41" t="str">
        <f ca="1"/>
        <v/>
      </c>
    </row>
    <row r="64" spans="1:7" ht="17.399999999999999" x14ac:dyDescent="0.35">
      <c r="A64" s="36" t="str">
        <f ca="1"/>
        <v>RIDER</v>
      </c>
      <c r="B64" s="37" t="str">
        <f ca="1"/>
        <v>TREC GB #/ CLUB #</v>
      </c>
      <c r="C64" s="38" t="str">
        <f ca="1"/>
        <v>HORSE</v>
      </c>
      <c r="D64" s="37" t="str">
        <f ca="1"/>
        <v>POSITION</v>
      </c>
      <c r="E64" s="41" t="str">
        <f ca="1"/>
        <v>GRAND TOTAL</v>
      </c>
      <c r="F64" s="41" t="str">
        <f ca="1"/>
        <v>MA TOTAL</v>
      </c>
      <c r="G64" s="41" t="str">
        <f ca="1"/>
        <v>PTV TOTAL</v>
      </c>
    </row>
    <row r="65" spans="1:7" ht="17.399999999999999" x14ac:dyDescent="0.35">
      <c r="A65" s="36" t="str">
        <f ca="1"/>
        <v>Niki King</v>
      </c>
      <c r="B65" s="37" t="str">
        <f ca="1"/>
        <v>B00102</v>
      </c>
      <c r="C65" s="38" t="str">
        <f ca="1"/>
        <v>Bird</v>
      </c>
      <c r="D65" s="37">
        <f ca="1"/>
        <v>1</v>
      </c>
      <c r="E65" s="41">
        <f ca="1"/>
        <v>94</v>
      </c>
      <c r="F65" s="41">
        <f ca="1"/>
        <v>0</v>
      </c>
      <c r="G65" s="41">
        <f ca="1"/>
        <v>94</v>
      </c>
    </row>
    <row r="66" spans="1:7" ht="17.399999999999999" x14ac:dyDescent="0.35">
      <c r="A66" s="36" t="str">
        <f ca="1"/>
        <v>Nadine Pinchin</v>
      </c>
      <c r="B66" s="37" t="str">
        <f ca="1"/>
        <v>R24-01506</v>
      </c>
      <c r="C66" s="38" t="str">
        <f ca="1"/>
        <v>Gary</v>
      </c>
      <c r="D66" s="37">
        <f ca="1"/>
        <v>2</v>
      </c>
      <c r="E66" s="41">
        <f ca="1"/>
        <v>87.5</v>
      </c>
      <c r="F66" s="41">
        <f ca="1"/>
        <v>3.5</v>
      </c>
      <c r="G66" s="41">
        <f ca="1"/>
        <v>84</v>
      </c>
    </row>
    <row r="67" spans="1:7" ht="17.399999999999999" x14ac:dyDescent="0.35">
      <c r="A67" s="36" t="str">
        <f ca="1"/>
        <v>James Whitmore</v>
      </c>
      <c r="B67" s="37">
        <f ca="1"/>
        <v>0</v>
      </c>
      <c r="C67" s="38" t="str">
        <f ca="1"/>
        <v>Cwmenfys Santino</v>
      </c>
      <c r="D67" s="37">
        <f ca="1"/>
        <v>3</v>
      </c>
      <c r="E67" s="41">
        <f ca="1"/>
        <v>77.5</v>
      </c>
      <c r="F67" s="41">
        <f ca="1"/>
        <v>5.5</v>
      </c>
      <c r="G67" s="41">
        <f ca="1"/>
        <v>72</v>
      </c>
    </row>
    <row r="68" spans="1:7" ht="17.399999999999999" x14ac:dyDescent="0.35">
      <c r="A68" s="36" t="str">
        <f ca="1"/>
        <v>Caroline Cowley</v>
      </c>
      <c r="B68" s="37" t="str">
        <f ca="1"/>
        <v>B25-01985</v>
      </c>
      <c r="C68" s="38" t="str">
        <f ca="1"/>
        <v>Santa Ana Mist</v>
      </c>
      <c r="D68" s="37">
        <f ca="1"/>
        <v>4</v>
      </c>
      <c r="E68" s="41">
        <f ca="1"/>
        <v>69</v>
      </c>
      <c r="F68" s="41">
        <f ca="1"/>
        <v>0</v>
      </c>
      <c r="G68" s="41">
        <f ca="1"/>
        <v>69</v>
      </c>
    </row>
    <row r="69" spans="1:7" ht="17.399999999999999" x14ac:dyDescent="0.35">
      <c r="A69" s="36" t="str">
        <f ca="1"/>
        <v>Megan Bennett</v>
      </c>
      <c r="B69" s="37">
        <f ca="1"/>
        <v>0</v>
      </c>
      <c r="C69" s="38" t="str">
        <f ca="1"/>
        <v>Rio</v>
      </c>
      <c r="D69" s="37">
        <f ca="1"/>
        <v>5</v>
      </c>
      <c r="E69" s="41">
        <f ca="1"/>
        <v>57</v>
      </c>
      <c r="F69" s="41">
        <f ca="1"/>
        <v>0</v>
      </c>
      <c r="G69" s="41">
        <f ca="1"/>
        <v>57</v>
      </c>
    </row>
    <row r="70" spans="1:7" ht="17.399999999999999" x14ac:dyDescent="0.35">
      <c r="A70" s="36" t="str">
        <f ca="1"/>
        <v>Claire Dovey</v>
      </c>
      <c r="B70" s="37" t="str">
        <f ca="1"/>
        <v>B25-01992</v>
      </c>
      <c r="C70" s="38" t="str">
        <f ca="1"/>
        <v>Mister Persica Bear</v>
      </c>
      <c r="D70" s="37">
        <f ca="1"/>
        <v>6</v>
      </c>
      <c r="E70" s="41">
        <f ca="1"/>
        <v>52</v>
      </c>
      <c r="F70" s="41">
        <f ca="1"/>
        <v>0</v>
      </c>
      <c r="G70" s="41">
        <f ca="1"/>
        <v>52</v>
      </c>
    </row>
    <row r="71" spans="1:7" ht="17.399999999999999" x14ac:dyDescent="0.35">
      <c r="A71" s="36" t="str">
        <f ca="1"/>
        <v>Charlotte Fleming</v>
      </c>
      <c r="B71" s="37" t="str">
        <f ca="1"/>
        <v>R26-01690</v>
      </c>
      <c r="C71" s="38" t="str">
        <f ca="1"/>
        <v>Ross</v>
      </c>
      <c r="D71" s="37">
        <f ca="1"/>
        <v>7</v>
      </c>
      <c r="E71" s="41">
        <f ca="1"/>
        <v>13</v>
      </c>
      <c r="F71" s="41">
        <f ca="1"/>
        <v>0</v>
      </c>
      <c r="G71" s="41">
        <f ca="1"/>
        <v>13</v>
      </c>
    </row>
    <row r="72" spans="1:7" ht="17.399999999999999" x14ac:dyDescent="0.35">
      <c r="A72" s="36" t="str">
        <f ca="1"/>
        <v>Ruth Williams</v>
      </c>
      <c r="B72" s="37">
        <f ca="1"/>
        <v>0</v>
      </c>
      <c r="C72" s="38" t="str">
        <f ca="1"/>
        <v>Sir Caster Shadow</v>
      </c>
      <c r="D72" s="37">
        <f ca="1"/>
        <v>8</v>
      </c>
      <c r="E72" s="41">
        <f ca="1"/>
        <v>7</v>
      </c>
      <c r="F72" s="41">
        <f ca="1"/>
        <v>0</v>
      </c>
      <c r="G72" s="41">
        <f ca="1"/>
        <v>7</v>
      </c>
    </row>
    <row r="73" spans="1:7" ht="17.399999999999999" x14ac:dyDescent="0.35">
      <c r="A73" s="36">
        <f ca="1"/>
        <v>0</v>
      </c>
      <c r="B73" s="37" t="str">
        <f ca="1"/>
        <v/>
      </c>
      <c r="C73" s="38" t="str">
        <f ca="1"/>
        <v/>
      </c>
      <c r="D73" s="37" t="str">
        <f ca="1"/>
        <v/>
      </c>
      <c r="E73" s="41" t="str">
        <f ca="1"/>
        <v/>
      </c>
      <c r="F73" s="41" t="str">
        <f ca="1"/>
        <v/>
      </c>
      <c r="G73" s="41" t="str">
        <f ca="1"/>
        <v/>
      </c>
    </row>
    <row r="74" spans="1:7" ht="17.399999999999999" x14ac:dyDescent="0.35">
      <c r="A74" s="36" t="str">
        <f ca="1"/>
        <v>CLASS: In Hand</v>
      </c>
      <c r="B74" s="37" t="str">
        <f ca="1"/>
        <v/>
      </c>
      <c r="C74" s="38" t="str">
        <f ca="1"/>
        <v/>
      </c>
      <c r="D74" s="37" t="str">
        <f ca="1"/>
        <v/>
      </c>
      <c r="E74" s="41" t="str">
        <f ca="1"/>
        <v/>
      </c>
      <c r="F74" s="41" t="str">
        <f ca="1"/>
        <v/>
      </c>
      <c r="G74" s="41" t="str">
        <f ca="1"/>
        <v/>
      </c>
    </row>
    <row r="75" spans="1:7" ht="17.399999999999999" x14ac:dyDescent="0.35">
      <c r="A75" s="36" t="str">
        <f ca="1"/>
        <v>RIDER</v>
      </c>
      <c r="B75" s="37" t="str">
        <f ca="1"/>
        <v>TREC GB #/ CLUB #</v>
      </c>
      <c r="C75" s="38" t="str">
        <f ca="1"/>
        <v>HORSE</v>
      </c>
      <c r="D75" s="37" t="str">
        <f ca="1"/>
        <v>POSITION</v>
      </c>
      <c r="E75" s="41" t="str">
        <f ca="1"/>
        <v>GRAND TOTAL</v>
      </c>
      <c r="F75" s="41" t="str">
        <f ca="1"/>
        <v>MA TOTAL</v>
      </c>
      <c r="G75" s="41" t="str">
        <f ca="1"/>
        <v>PTV TOTAL</v>
      </c>
    </row>
    <row r="76" spans="1:7" ht="17.399999999999999" x14ac:dyDescent="0.35">
      <c r="A76" s="36" t="str">
        <f ca="1"/>
        <v>Elaine Anderson</v>
      </c>
      <c r="B76" s="37">
        <f ca="1"/>
        <v>0</v>
      </c>
      <c r="C76" s="38" t="str">
        <f ca="1"/>
        <v>Charlie</v>
      </c>
      <c r="D76" s="37">
        <f ca="1"/>
        <v>1</v>
      </c>
      <c r="E76" s="41">
        <f ca="1"/>
        <v>81</v>
      </c>
      <c r="F76" s="41">
        <f ca="1"/>
        <v>0</v>
      </c>
      <c r="G76" s="41">
        <f ca="1"/>
        <v>81</v>
      </c>
    </row>
    <row r="77" spans="1:7" ht="17.399999999999999" x14ac:dyDescent="0.35">
      <c r="A77" s="36" t="str">
        <f ca="1"/>
        <v>Nadine Pinchin</v>
      </c>
      <c r="B77" s="37" t="str">
        <f ca="1"/>
        <v>R24-01506</v>
      </c>
      <c r="C77" s="38" t="str">
        <f ca="1"/>
        <v>Gary</v>
      </c>
      <c r="D77" s="37">
        <f ca="1"/>
        <v>2</v>
      </c>
      <c r="E77" s="41">
        <f ca="1"/>
        <v>80</v>
      </c>
      <c r="F77" s="41">
        <f ca="1"/>
        <v>0</v>
      </c>
      <c r="G77" s="41">
        <f ca="1"/>
        <v>80</v>
      </c>
    </row>
    <row r="78" spans="1:7" ht="17.399999999999999" x14ac:dyDescent="0.35">
      <c r="A78" s="36" t="str">
        <f ca="1"/>
        <v>Caroline Cowley</v>
      </c>
      <c r="B78" s="37" t="str">
        <f ca="1"/>
        <v>B25-01985</v>
      </c>
      <c r="C78" s="38" t="str">
        <f ca="1"/>
        <v>Santa Ana Mist</v>
      </c>
      <c r="D78" s="37">
        <f ca="1"/>
        <v>3</v>
      </c>
      <c r="E78" s="41">
        <f ca="1"/>
        <v>77</v>
      </c>
      <c r="F78" s="41">
        <f ca="1"/>
        <v>0</v>
      </c>
      <c r="G78" s="41">
        <f ca="1"/>
        <v>77</v>
      </c>
    </row>
    <row r="79" spans="1:7" ht="17.399999999999999" x14ac:dyDescent="0.35">
      <c r="A79" s="36" t="str">
        <f ca="1"/>
        <v>Claire Dovey</v>
      </c>
      <c r="B79" s="37" t="str">
        <f ca="1"/>
        <v>B25-01992</v>
      </c>
      <c r="C79" s="38" t="str">
        <f ca="1"/>
        <v>Mister Persica Bear</v>
      </c>
      <c r="D79" s="37">
        <f ca="1"/>
        <v>4</v>
      </c>
      <c r="E79" s="41">
        <f ca="1"/>
        <v>70</v>
      </c>
      <c r="F79" s="41">
        <f ca="1"/>
        <v>0</v>
      </c>
      <c r="G79" s="41">
        <f ca="1"/>
        <v>70</v>
      </c>
    </row>
    <row r="80" spans="1:7" ht="17.399999999999999" x14ac:dyDescent="0.35">
      <c r="A80" s="36" t="str">
        <f ca="1"/>
        <v>Charlotte Fleming</v>
      </c>
      <c r="B80" s="37" t="str">
        <f ca="1"/>
        <v>R26-01690</v>
      </c>
      <c r="C80" s="38" t="str">
        <f ca="1"/>
        <v>Ross</v>
      </c>
      <c r="D80" s="37">
        <f ca="1"/>
        <v>5</v>
      </c>
      <c r="E80" s="41">
        <f ca="1"/>
        <v>68</v>
      </c>
      <c r="F80" s="41">
        <f ca="1"/>
        <v>0</v>
      </c>
      <c r="G80" s="41">
        <f ca="1"/>
        <v>68</v>
      </c>
    </row>
    <row r="81" spans="1:7" ht="17.399999999999999" x14ac:dyDescent="0.35">
      <c r="A81" s="36" t="str">
        <f ca="1"/>
        <v>Adele Berkin</v>
      </c>
      <c r="B81" s="37">
        <f ca="1"/>
        <v>0</v>
      </c>
      <c r="C81" s="38" t="str">
        <f ca="1"/>
        <v>Justin Dunna Bother</v>
      </c>
      <c r="D81" s="37">
        <f ca="1"/>
        <v>6</v>
      </c>
      <c r="E81" s="41">
        <f ca="1"/>
        <v>60</v>
      </c>
      <c r="F81" s="41">
        <f ca="1"/>
        <v>0</v>
      </c>
      <c r="G81" s="41">
        <f ca="1"/>
        <v>60</v>
      </c>
    </row>
    <row r="82" spans="1:7" ht="17.399999999999999" x14ac:dyDescent="0.35">
      <c r="A82" s="36" t="str">
        <f ca="1"/>
        <v>Adele Berkin</v>
      </c>
      <c r="B82" s="37">
        <f ca="1"/>
        <v>0</v>
      </c>
      <c r="C82" s="38" t="str">
        <f ca="1"/>
        <v>Justin Robin Falls</v>
      </c>
      <c r="D82" s="37">
        <f ca="1"/>
        <v>7</v>
      </c>
      <c r="E82" s="41">
        <f ca="1"/>
        <v>54</v>
      </c>
      <c r="F82" s="41">
        <f ca="1"/>
        <v>0</v>
      </c>
      <c r="G82" s="41">
        <f ca="1"/>
        <v>54</v>
      </c>
    </row>
    <row r="83" spans="1:7" ht="17.399999999999999" x14ac:dyDescent="0.35">
      <c r="A83" s="36">
        <f ca="1"/>
        <v>0</v>
      </c>
      <c r="B83" s="37" t="str">
        <f ca="1"/>
        <v/>
      </c>
      <c r="C83" s="38" t="str">
        <f ca="1"/>
        <v/>
      </c>
      <c r="D83" s="37" t="str">
        <f ca="1"/>
        <v/>
      </c>
      <c r="E83" s="41" t="str">
        <f ca="1"/>
        <v/>
      </c>
      <c r="F83" s="41" t="str">
        <f ca="1"/>
        <v/>
      </c>
      <c r="G83" s="41" t="str">
        <f ca="1"/>
        <v/>
      </c>
    </row>
    <row r="84" spans="1:7" ht="17.399999999999999" x14ac:dyDescent="0.35">
      <c r="A84" s="36" t="str">
        <f ca="1"/>
        <v>CLASS: Starters</v>
      </c>
      <c r="B84" s="37" t="str">
        <f ca="1"/>
        <v/>
      </c>
      <c r="C84" s="38" t="str">
        <f ca="1"/>
        <v/>
      </c>
      <c r="D84" s="37" t="str">
        <f ca="1"/>
        <v/>
      </c>
      <c r="E84" s="41" t="str">
        <f ca="1"/>
        <v/>
      </c>
      <c r="F84" s="41" t="str">
        <f ca="1"/>
        <v/>
      </c>
      <c r="G84" s="41" t="str">
        <f ca="1"/>
        <v/>
      </c>
    </row>
    <row r="85" spans="1:7" ht="17.399999999999999" x14ac:dyDescent="0.35">
      <c r="A85" s="36" t="str">
        <f ca="1"/>
        <v>RIDER</v>
      </c>
      <c r="B85" s="37" t="str">
        <f ca="1"/>
        <v>TREC GB #/ CLUB #</v>
      </c>
      <c r="C85" s="38" t="str">
        <f ca="1"/>
        <v>HORSE</v>
      </c>
      <c r="D85" s="37" t="str">
        <f ca="1"/>
        <v>POSITION</v>
      </c>
      <c r="E85" s="41" t="str">
        <f ca="1"/>
        <v>GRAND TOTAL</v>
      </c>
      <c r="F85" s="41" t="str">
        <f ca="1"/>
        <v>MA TOTAL</v>
      </c>
      <c r="G85" s="41" t="str">
        <f ca="1"/>
        <v>PTV TOTAL</v>
      </c>
    </row>
    <row r="86" spans="1:7" ht="17.399999999999999" x14ac:dyDescent="0.35">
      <c r="A86" s="36" t="str">
        <f ca="1"/>
        <v>Elaine Anderson</v>
      </c>
      <c r="B86" s="37">
        <f ca="1"/>
        <v>0</v>
      </c>
      <c r="C86" s="38" t="str">
        <f ca="1"/>
        <v>Charlie</v>
      </c>
      <c r="D86" s="37">
        <f ca="1"/>
        <v>1</v>
      </c>
      <c r="E86" s="41">
        <f ca="1"/>
        <v>77</v>
      </c>
      <c r="F86" s="41">
        <f ca="1"/>
        <v>0</v>
      </c>
      <c r="G86" s="41">
        <f ca="1"/>
        <v>77</v>
      </c>
    </row>
    <row r="87" spans="1:7" ht="17.399999999999999" x14ac:dyDescent="0.35">
      <c r="A87" s="36" t="str">
        <f ca="1"/>
        <v>Claire Dovey</v>
      </c>
      <c r="B87" s="37" t="str">
        <f ca="1"/>
        <v>B25-01992</v>
      </c>
      <c r="C87" s="38" t="str">
        <f ca="1"/>
        <v>Mister Persica Bear</v>
      </c>
      <c r="D87" s="37">
        <f ca="1"/>
        <v>2</v>
      </c>
      <c r="E87" s="41">
        <f ca="1"/>
        <v>55</v>
      </c>
      <c r="F87" s="41">
        <f ca="1"/>
        <v>0</v>
      </c>
      <c r="G87" s="41">
        <f ca="1"/>
        <v>55</v>
      </c>
    </row>
    <row r="88" spans="1:7" ht="17.399999999999999" x14ac:dyDescent="0.35">
      <c r="A88" s="36" t="str">
        <f ca="1"/>
        <v>Caroline Cowley</v>
      </c>
      <c r="B88" s="37" t="str">
        <f ca="1"/>
        <v>B25-01985</v>
      </c>
      <c r="C88" s="38" t="str">
        <f ca="1"/>
        <v>Santa Ana Mist</v>
      </c>
      <c r="D88" s="37">
        <f ca="1"/>
        <v>3</v>
      </c>
      <c r="E88" s="41">
        <f ca="1"/>
        <v>52</v>
      </c>
      <c r="F88" s="41">
        <f ca="1"/>
        <v>0</v>
      </c>
      <c r="G88" s="41">
        <f ca="1"/>
        <v>52</v>
      </c>
    </row>
    <row r="89" spans="1:7" ht="17.399999999999999" x14ac:dyDescent="0.35">
      <c r="A89" s="36">
        <f ca="1"/>
        <v>0</v>
      </c>
      <c r="B89" s="37" t="str">
        <f ca="1"/>
        <v/>
      </c>
      <c r="C89" s="38" t="str">
        <f ca="1"/>
        <v/>
      </c>
      <c r="D89" s="37" t="str">
        <f ca="1"/>
        <v/>
      </c>
      <c r="E89" s="41" t="str">
        <f ca="1"/>
        <v/>
      </c>
      <c r="F89" s="41" t="str">
        <f ca="1"/>
        <v/>
      </c>
      <c r="G89" s="41" t="str">
        <f ca="1"/>
        <v/>
      </c>
    </row>
    <row r="90" spans="1:7" ht="17.399999999999999" x14ac:dyDescent="0.35">
      <c r="A90" s="36">
        <f ca="1"/>
        <v>0</v>
      </c>
      <c r="B90" s="37" t="str">
        <f ca="1"/>
        <v/>
      </c>
      <c r="C90" s="38" t="str">
        <f ca="1"/>
        <v/>
      </c>
      <c r="D90" s="37" t="str">
        <f ca="1"/>
        <v/>
      </c>
      <c r="E90" s="41" t="str">
        <f ca="1"/>
        <v/>
      </c>
      <c r="F90" s="41" t="str">
        <f ca="1"/>
        <v/>
      </c>
      <c r="G90" s="41" t="str">
        <f ca="1"/>
        <v/>
      </c>
    </row>
    <row r="91" spans="1:7" ht="17.399999999999999" x14ac:dyDescent="0.35">
      <c r="A91" s="36">
        <f ca="1"/>
        <v>0</v>
      </c>
      <c r="B91" s="37" t="str">
        <f ca="1"/>
        <v/>
      </c>
      <c r="C91" s="38" t="str">
        <f ca="1"/>
        <v/>
      </c>
      <c r="D91" s="37" t="str">
        <f ca="1"/>
        <v/>
      </c>
      <c r="E91" s="41" t="str">
        <f ca="1"/>
        <v/>
      </c>
      <c r="F91" s="41" t="str">
        <f ca="1"/>
        <v/>
      </c>
      <c r="G91" s="41" t="str">
        <f ca="1"/>
        <v/>
      </c>
    </row>
    <row r="92" spans="1:7" ht="17.399999999999999" x14ac:dyDescent="0.35">
      <c r="A92" s="36">
        <f ca="1"/>
        <v>0</v>
      </c>
      <c r="B92" s="37" t="str">
        <f ca="1"/>
        <v/>
      </c>
      <c r="C92" s="38" t="str">
        <f ca="1"/>
        <v/>
      </c>
      <c r="D92" s="37" t="str">
        <f ca="1"/>
        <v/>
      </c>
      <c r="E92" s="41" t="str">
        <f ca="1"/>
        <v/>
      </c>
      <c r="F92" s="41" t="str">
        <f ca="1"/>
        <v/>
      </c>
      <c r="G92" s="41" t="str">
        <f ca="1"/>
        <v/>
      </c>
    </row>
    <row r="93" spans="1:7" ht="17.399999999999999" x14ac:dyDescent="0.35">
      <c r="A93" s="36">
        <f ca="1"/>
        <v>0</v>
      </c>
      <c r="B93" s="37" t="str">
        <f ca="1"/>
        <v/>
      </c>
      <c r="C93" s="38" t="str">
        <f ca="1"/>
        <v/>
      </c>
      <c r="D93" s="37" t="str">
        <f ca="1"/>
        <v/>
      </c>
      <c r="E93" s="41" t="str">
        <f ca="1"/>
        <v/>
      </c>
      <c r="F93" s="41" t="str">
        <f ca="1"/>
        <v/>
      </c>
      <c r="G93" s="41" t="str">
        <f ca="1"/>
        <v/>
      </c>
    </row>
    <row r="94" spans="1:7" ht="17.399999999999999" x14ac:dyDescent="0.35">
      <c r="A94" s="36">
        <f ca="1"/>
        <v>0</v>
      </c>
      <c r="B94" s="37" t="str">
        <f ca="1"/>
        <v/>
      </c>
      <c r="C94" s="38" t="str">
        <f ca="1"/>
        <v/>
      </c>
      <c r="D94" s="37" t="str">
        <f ca="1"/>
        <v/>
      </c>
      <c r="E94" s="41" t="str">
        <f ca="1"/>
        <v/>
      </c>
      <c r="F94" s="41" t="str">
        <f ca="1"/>
        <v/>
      </c>
      <c r="G94" s="41" t="str">
        <f ca="1"/>
        <v/>
      </c>
    </row>
    <row r="95" spans="1:7" ht="17.399999999999999" x14ac:dyDescent="0.35">
      <c r="A95" s="36"/>
      <c r="B95" s="37"/>
      <c r="C95" s="38"/>
      <c r="D95" s="37"/>
      <c r="E95" s="41"/>
      <c r="F95" s="41"/>
      <c r="G95" s="41"/>
    </row>
    <row r="96" spans="1:7" ht="17.399999999999999" x14ac:dyDescent="0.35">
      <c r="A96" s="36"/>
      <c r="B96" s="37"/>
      <c r="C96" s="38"/>
      <c r="D96" s="37"/>
      <c r="E96" s="41"/>
      <c r="F96" s="41"/>
      <c r="G96" s="41"/>
    </row>
    <row r="97" spans="1:7" ht="17.399999999999999" x14ac:dyDescent="0.35">
      <c r="A97" s="36"/>
      <c r="B97" s="37"/>
      <c r="C97" s="38"/>
      <c r="D97" s="37"/>
      <c r="E97" s="41"/>
      <c r="F97" s="41"/>
      <c r="G97" s="41"/>
    </row>
    <row r="98" spans="1:7" ht="17.399999999999999" x14ac:dyDescent="0.35">
      <c r="A98" s="36"/>
      <c r="B98" s="37"/>
      <c r="C98" s="38"/>
      <c r="D98" s="37"/>
      <c r="E98" s="41"/>
      <c r="F98" s="41"/>
      <c r="G98" s="41"/>
    </row>
    <row r="99" spans="1:7" ht="17.399999999999999" x14ac:dyDescent="0.35">
      <c r="A99" s="36"/>
      <c r="B99" s="37"/>
      <c r="C99" s="38"/>
      <c r="D99" s="37"/>
      <c r="E99" s="41"/>
      <c r="F99" s="41"/>
      <c r="G99" s="41"/>
    </row>
    <row r="100" spans="1:7" ht="17.399999999999999" x14ac:dyDescent="0.35">
      <c r="A100" s="36"/>
      <c r="B100" s="37"/>
      <c r="C100" s="38"/>
      <c r="D100" s="37"/>
      <c r="E100" s="41"/>
      <c r="F100" s="41"/>
      <c r="G100" s="41"/>
    </row>
    <row r="101" spans="1:7" ht="17.399999999999999" x14ac:dyDescent="0.35">
      <c r="A101" s="36"/>
      <c r="B101" s="37"/>
      <c r="C101" s="38"/>
      <c r="D101" s="37"/>
      <c r="E101" s="41"/>
      <c r="F101" s="41"/>
      <c r="G101" s="41"/>
    </row>
    <row r="102" spans="1:7" ht="17.399999999999999" x14ac:dyDescent="0.35">
      <c r="A102" s="36"/>
      <c r="B102" s="37"/>
      <c r="C102" s="38"/>
      <c r="D102" s="37"/>
      <c r="E102" s="41"/>
      <c r="F102" s="41"/>
      <c r="G102" s="41"/>
    </row>
    <row r="103" spans="1:7" ht="17.399999999999999" x14ac:dyDescent="0.35">
      <c r="A103" s="36"/>
      <c r="B103" s="37"/>
      <c r="C103" s="38"/>
      <c r="D103" s="37"/>
      <c r="E103" s="41"/>
      <c r="F103" s="41"/>
      <c r="G103" s="41"/>
    </row>
    <row r="104" spans="1:7" ht="17.399999999999999" x14ac:dyDescent="0.35">
      <c r="A104" s="36"/>
      <c r="B104" s="37"/>
      <c r="C104" s="38"/>
      <c r="D104" s="37"/>
      <c r="E104" s="41"/>
      <c r="F104" s="41"/>
      <c r="G104" s="41"/>
    </row>
    <row r="105" spans="1:7" ht="17.399999999999999" x14ac:dyDescent="0.35">
      <c r="A105" s="36"/>
      <c r="B105" s="37"/>
      <c r="C105" s="38"/>
      <c r="D105" s="37"/>
      <c r="E105" s="41"/>
      <c r="F105" s="41"/>
      <c r="G105" s="41"/>
    </row>
    <row r="106" spans="1:7" ht="17.399999999999999" x14ac:dyDescent="0.35">
      <c r="A106" s="36"/>
      <c r="B106" s="37"/>
      <c r="C106" s="38"/>
      <c r="D106" s="37"/>
      <c r="E106" s="41"/>
      <c r="F106" s="41"/>
      <c r="G106" s="41"/>
    </row>
    <row r="107" spans="1:7" ht="17.399999999999999" x14ac:dyDescent="0.35">
      <c r="A107" s="36"/>
      <c r="B107" s="37"/>
      <c r="C107" s="38"/>
      <c r="D107" s="37"/>
      <c r="E107" s="41"/>
      <c r="F107" s="41"/>
      <c r="G107" s="41"/>
    </row>
    <row r="108" spans="1:7" ht="17.399999999999999" x14ac:dyDescent="0.35">
      <c r="A108" s="36"/>
      <c r="B108" s="37"/>
      <c r="C108" s="38"/>
      <c r="D108" s="37"/>
      <c r="E108" s="41"/>
      <c r="F108" s="41"/>
      <c r="G108" s="41"/>
    </row>
    <row r="109" spans="1:7" ht="17.399999999999999" x14ac:dyDescent="0.35">
      <c r="A109" s="36"/>
      <c r="B109" s="37"/>
      <c r="C109" s="38"/>
      <c r="D109" s="37"/>
      <c r="E109" s="41"/>
      <c r="F109" s="41"/>
      <c r="G109" s="41"/>
    </row>
    <row r="110" spans="1:7" ht="17.399999999999999" x14ac:dyDescent="0.35">
      <c r="A110" s="36"/>
      <c r="B110" s="37"/>
      <c r="C110" s="38"/>
      <c r="D110" s="37"/>
      <c r="E110" s="41"/>
      <c r="F110" s="41"/>
      <c r="G110" s="41"/>
    </row>
    <row r="111" spans="1:7" ht="17.399999999999999" x14ac:dyDescent="0.35">
      <c r="A111" s="36"/>
      <c r="B111" s="37"/>
      <c r="C111" s="38"/>
      <c r="D111" s="37"/>
      <c r="E111" s="41"/>
      <c r="F111" s="41"/>
      <c r="G111" s="41"/>
    </row>
    <row r="112" spans="1:7" ht="17.399999999999999" x14ac:dyDescent="0.35">
      <c r="A112" s="36"/>
      <c r="B112" s="37"/>
      <c r="C112" s="38"/>
      <c r="D112" s="37"/>
      <c r="E112" s="41"/>
      <c r="F112" s="41"/>
      <c r="G112" s="41"/>
    </row>
    <row r="113" spans="1:7" ht="17.399999999999999" x14ac:dyDescent="0.35">
      <c r="A113" s="36"/>
      <c r="B113" s="37"/>
      <c r="C113" s="38"/>
      <c r="D113" s="37"/>
      <c r="E113" s="41"/>
      <c r="F113" s="41"/>
      <c r="G113" s="41"/>
    </row>
    <row r="114" spans="1:7" ht="17.399999999999999" x14ac:dyDescent="0.35">
      <c r="A114" s="36"/>
      <c r="B114" s="37"/>
      <c r="C114" s="38"/>
      <c r="D114" s="37"/>
      <c r="E114" s="41"/>
      <c r="F114" s="41"/>
      <c r="G114" s="41"/>
    </row>
    <row r="115" spans="1:7" ht="17.399999999999999" x14ac:dyDescent="0.35">
      <c r="A115" s="36"/>
      <c r="B115" s="37"/>
      <c r="C115" s="38"/>
      <c r="D115" s="37"/>
      <c r="E115" s="41"/>
      <c r="F115" s="41"/>
      <c r="G115" s="41"/>
    </row>
    <row r="116" spans="1:7" ht="17.399999999999999" x14ac:dyDescent="0.35">
      <c r="A116" s="36"/>
      <c r="B116" s="37"/>
      <c r="C116" s="38"/>
      <c r="D116" s="37"/>
      <c r="E116" s="41"/>
      <c r="F116" s="41"/>
      <c r="G116" s="41"/>
    </row>
    <row r="117" spans="1:7" ht="17.399999999999999" x14ac:dyDescent="0.35">
      <c r="A117" s="36"/>
      <c r="B117" s="37"/>
      <c r="C117" s="38"/>
      <c r="D117" s="37"/>
      <c r="E117" s="41"/>
      <c r="F117" s="41"/>
      <c r="G117" s="41"/>
    </row>
    <row r="118" spans="1:7" ht="17.399999999999999" x14ac:dyDescent="0.35">
      <c r="A118" s="36"/>
      <c r="B118" s="37"/>
      <c r="C118" s="38"/>
      <c r="D118" s="37"/>
      <c r="E118" s="41"/>
      <c r="F118" s="41"/>
      <c r="G118" s="41"/>
    </row>
    <row r="119" spans="1:7" ht="17.399999999999999" x14ac:dyDescent="0.35">
      <c r="A119" s="36"/>
      <c r="B119" s="37"/>
      <c r="C119" s="38"/>
      <c r="D119" s="37"/>
      <c r="E119" s="41"/>
      <c r="F119" s="41"/>
      <c r="G119" s="41"/>
    </row>
    <row r="120" spans="1:7" ht="17.399999999999999" x14ac:dyDescent="0.35">
      <c r="A120" s="36"/>
      <c r="B120" s="37"/>
      <c r="C120" s="38"/>
      <c r="D120" s="37"/>
      <c r="E120" s="41"/>
      <c r="F120" s="41"/>
      <c r="G120" s="41"/>
    </row>
    <row r="121" spans="1:7" ht="17.399999999999999" x14ac:dyDescent="0.35">
      <c r="A121" s="36"/>
      <c r="B121" s="37"/>
      <c r="C121" s="38"/>
      <c r="D121" s="37"/>
      <c r="E121" s="41"/>
      <c r="F121" s="41"/>
      <c r="G121" s="41"/>
    </row>
    <row r="122" spans="1:7" ht="17.399999999999999" x14ac:dyDescent="0.35">
      <c r="A122" s="36"/>
      <c r="B122" s="37"/>
      <c r="C122" s="38"/>
      <c r="D122" s="37"/>
      <c r="E122" s="41"/>
      <c r="F122" s="41"/>
      <c r="G122" s="41"/>
    </row>
    <row r="123" spans="1:7" ht="17.399999999999999" x14ac:dyDescent="0.35">
      <c r="A123" s="36"/>
      <c r="B123" s="37"/>
      <c r="C123" s="38"/>
      <c r="D123" s="37"/>
      <c r="E123" s="41"/>
      <c r="F123" s="41"/>
      <c r="G123" s="41"/>
    </row>
    <row r="124" spans="1:7" ht="17.399999999999999" x14ac:dyDescent="0.35">
      <c r="A124" s="36"/>
      <c r="B124" s="37"/>
      <c r="C124" s="38"/>
      <c r="D124" s="37"/>
      <c r="E124" s="41"/>
      <c r="F124" s="41"/>
      <c r="G124" s="41"/>
    </row>
    <row r="125" spans="1:7" ht="17.399999999999999" x14ac:dyDescent="0.35">
      <c r="A125" s="36"/>
      <c r="B125" s="37"/>
      <c r="C125" s="38"/>
      <c r="D125" s="37"/>
      <c r="E125" s="41"/>
      <c r="F125" s="41"/>
      <c r="G125" s="41"/>
    </row>
    <row r="126" spans="1:7" ht="17.399999999999999" x14ac:dyDescent="0.35">
      <c r="A126" s="36"/>
      <c r="B126" s="37"/>
      <c r="C126" s="38"/>
      <c r="D126" s="37"/>
      <c r="E126" s="41"/>
      <c r="F126" s="41"/>
      <c r="G126" s="41"/>
    </row>
    <row r="127" spans="1:7" ht="17.399999999999999" x14ac:dyDescent="0.35">
      <c r="A127" s="36"/>
      <c r="B127" s="37"/>
      <c r="C127" s="38"/>
      <c r="D127" s="37"/>
      <c r="E127" s="41"/>
      <c r="F127" s="41"/>
      <c r="G127" s="41"/>
    </row>
    <row r="128" spans="1:7" ht="17.399999999999999" x14ac:dyDescent="0.35">
      <c r="A128" s="36"/>
      <c r="B128" s="37"/>
      <c r="C128" s="38"/>
      <c r="D128" s="37"/>
      <c r="E128" s="41"/>
      <c r="F128" s="41"/>
      <c r="G128" s="41"/>
    </row>
    <row r="129" spans="1:7" ht="17.399999999999999" x14ac:dyDescent="0.35">
      <c r="A129" s="36"/>
      <c r="B129" s="37"/>
      <c r="C129" s="38"/>
      <c r="D129" s="37"/>
      <c r="E129" s="41"/>
      <c r="F129" s="41"/>
      <c r="G129" s="41"/>
    </row>
    <row r="130" spans="1:7" ht="17.399999999999999" x14ac:dyDescent="0.35">
      <c r="A130" s="36"/>
      <c r="B130" s="37"/>
      <c r="C130" s="38"/>
      <c r="D130" s="37"/>
      <c r="E130" s="41"/>
      <c r="F130" s="41"/>
      <c r="G130" s="41"/>
    </row>
    <row r="131" spans="1:7" ht="17.399999999999999" x14ac:dyDescent="0.35">
      <c r="A131" s="36"/>
      <c r="B131" s="37"/>
      <c r="C131" s="38"/>
      <c r="D131" s="37"/>
      <c r="E131" s="41"/>
      <c r="F131" s="41"/>
      <c r="G131" s="41"/>
    </row>
    <row r="132" spans="1:7" ht="17.399999999999999" x14ac:dyDescent="0.35">
      <c r="A132" s="36"/>
      <c r="B132" s="37"/>
      <c r="C132" s="38"/>
      <c r="D132" s="37"/>
      <c r="E132" s="41"/>
      <c r="F132" s="41"/>
      <c r="G132" s="41"/>
    </row>
    <row r="133" spans="1:7" ht="17.399999999999999" x14ac:dyDescent="0.35">
      <c r="A133" s="36"/>
      <c r="B133" s="37"/>
      <c r="C133" s="38"/>
      <c r="D133" s="37"/>
      <c r="E133" s="41"/>
      <c r="F133" s="41"/>
      <c r="G133" s="41"/>
    </row>
    <row r="134" spans="1:7" ht="17.399999999999999" x14ac:dyDescent="0.35">
      <c r="A134" s="36"/>
      <c r="B134" s="37"/>
      <c r="C134" s="38"/>
      <c r="D134" s="37"/>
      <c r="E134" s="41"/>
      <c r="F134" s="41"/>
      <c r="G134" s="41"/>
    </row>
    <row r="135" spans="1:7" ht="17.399999999999999" x14ac:dyDescent="0.35">
      <c r="A135" s="36"/>
      <c r="B135" s="37"/>
      <c r="C135" s="38"/>
      <c r="D135" s="37"/>
      <c r="E135" s="41"/>
      <c r="F135" s="41"/>
      <c r="G135" s="41"/>
    </row>
    <row r="136" spans="1:7" ht="17.399999999999999" x14ac:dyDescent="0.35">
      <c r="A136" s="36"/>
      <c r="B136" s="37"/>
      <c r="C136" s="38"/>
      <c r="D136" s="37"/>
      <c r="E136" s="41"/>
      <c r="F136" s="41"/>
      <c r="G136" s="41"/>
    </row>
    <row r="137" spans="1:7" ht="17.399999999999999" x14ac:dyDescent="0.35">
      <c r="A137" s="36"/>
      <c r="B137" s="37"/>
      <c r="C137" s="38"/>
      <c r="D137" s="37"/>
      <c r="E137" s="41"/>
      <c r="F137" s="41"/>
      <c r="G137" s="41"/>
    </row>
    <row r="138" spans="1:7" ht="17.399999999999999" x14ac:dyDescent="0.35">
      <c r="A138" s="36"/>
      <c r="B138" s="37"/>
      <c r="C138" s="38"/>
      <c r="D138" s="37"/>
      <c r="E138" s="41"/>
      <c r="F138" s="41"/>
      <c r="G138" s="41"/>
    </row>
    <row r="139" spans="1:7" ht="17.399999999999999" x14ac:dyDescent="0.35">
      <c r="A139" s="36"/>
      <c r="B139" s="37"/>
      <c r="C139" s="38"/>
      <c r="D139" s="37"/>
      <c r="E139" s="41"/>
      <c r="F139" s="41"/>
      <c r="G139" s="41"/>
    </row>
    <row r="140" spans="1:7" ht="17.399999999999999" x14ac:dyDescent="0.35">
      <c r="A140" s="36"/>
      <c r="B140" s="37"/>
      <c r="C140" s="38"/>
      <c r="D140" s="37"/>
      <c r="E140" s="41"/>
      <c r="F140" s="41"/>
      <c r="G140" s="41"/>
    </row>
    <row r="141" spans="1:7" ht="17.399999999999999" x14ac:dyDescent="0.35">
      <c r="A141" s="36"/>
      <c r="B141" s="37"/>
      <c r="C141" s="38"/>
      <c r="D141" s="37"/>
      <c r="E141" s="41"/>
      <c r="F141" s="41"/>
      <c r="G141" s="41"/>
    </row>
    <row r="142" spans="1:7" ht="17.399999999999999" x14ac:dyDescent="0.35">
      <c r="A142" s="36"/>
      <c r="B142" s="37"/>
      <c r="C142" s="38"/>
      <c r="D142" s="37"/>
      <c r="E142" s="41"/>
      <c r="F142" s="41"/>
      <c r="G142" s="41"/>
    </row>
    <row r="143" spans="1:7" ht="17.399999999999999" x14ac:dyDescent="0.35">
      <c r="A143" s="36"/>
      <c r="B143" s="37"/>
      <c r="C143" s="38"/>
      <c r="D143" s="37"/>
      <c r="E143" s="41"/>
      <c r="F143" s="41"/>
      <c r="G143" s="41"/>
    </row>
    <row r="144" spans="1:7" ht="17.399999999999999" x14ac:dyDescent="0.35">
      <c r="A144" s="36"/>
      <c r="B144" s="37"/>
      <c r="C144" s="38"/>
      <c r="D144" s="37"/>
      <c r="E144" s="41"/>
      <c r="F144" s="41"/>
      <c r="G144" s="41"/>
    </row>
    <row r="145" spans="1:7" ht="17.399999999999999" x14ac:dyDescent="0.35">
      <c r="A145" s="36"/>
      <c r="B145" s="37"/>
      <c r="C145" s="38"/>
      <c r="D145" s="37"/>
      <c r="E145" s="41"/>
      <c r="F145" s="41"/>
      <c r="G145" s="41"/>
    </row>
    <row r="146" spans="1:7" ht="17.399999999999999" x14ac:dyDescent="0.35">
      <c r="A146" s="36"/>
      <c r="B146" s="37"/>
      <c r="C146" s="38"/>
      <c r="D146" s="37"/>
      <c r="E146" s="41"/>
      <c r="F146" s="41"/>
      <c r="G146" s="41"/>
    </row>
    <row r="147" spans="1:7" ht="17.399999999999999" x14ac:dyDescent="0.35">
      <c r="A147" s="36"/>
      <c r="B147" s="37"/>
      <c r="C147" s="38"/>
      <c r="D147" s="37"/>
      <c r="E147" s="41"/>
      <c r="F147" s="41"/>
      <c r="G147" s="41"/>
    </row>
    <row r="148" spans="1:7" ht="17.399999999999999" x14ac:dyDescent="0.35">
      <c r="A148" s="36"/>
      <c r="B148" s="37"/>
      <c r="C148" s="38"/>
      <c r="D148" s="37"/>
      <c r="E148" s="41"/>
      <c r="F148" s="41"/>
      <c r="G148" s="41"/>
    </row>
    <row r="149" spans="1:7" ht="17.399999999999999" x14ac:dyDescent="0.35">
      <c r="A149" s="36"/>
      <c r="B149" s="37"/>
      <c r="C149" s="38"/>
      <c r="D149" s="37"/>
      <c r="E149" s="41"/>
      <c r="F149" s="41"/>
      <c r="G149" s="41"/>
    </row>
    <row r="150" spans="1:7" ht="17.399999999999999" x14ac:dyDescent="0.35">
      <c r="A150" s="36"/>
      <c r="B150" s="37"/>
      <c r="C150" s="38"/>
      <c r="D150" s="37"/>
      <c r="E150" s="41"/>
      <c r="F150" s="41"/>
      <c r="G150" s="41"/>
    </row>
    <row r="151" spans="1:7" ht="17.399999999999999" x14ac:dyDescent="0.35">
      <c r="A151" s="36"/>
      <c r="B151" s="37"/>
      <c r="C151" s="38"/>
      <c r="D151" s="37"/>
      <c r="E151" s="41"/>
      <c r="F151" s="41"/>
      <c r="G151" s="41"/>
    </row>
    <row r="152" spans="1:7" ht="17.399999999999999" x14ac:dyDescent="0.35">
      <c r="A152" s="36"/>
      <c r="B152" s="37"/>
      <c r="C152" s="38"/>
      <c r="D152" s="37"/>
      <c r="E152" s="41"/>
      <c r="F152" s="41"/>
      <c r="G152" s="41"/>
    </row>
    <row r="153" spans="1:7" ht="17.399999999999999" x14ac:dyDescent="0.35">
      <c r="A153" s="36"/>
      <c r="B153" s="37"/>
      <c r="C153" s="38"/>
      <c r="D153" s="37"/>
      <c r="E153" s="41"/>
      <c r="F153" s="41"/>
      <c r="G153" s="41"/>
    </row>
    <row r="154" spans="1:7" ht="17.399999999999999" x14ac:dyDescent="0.35">
      <c r="A154" s="36"/>
      <c r="B154" s="37"/>
      <c r="C154" s="38"/>
      <c r="D154" s="37"/>
      <c r="E154" s="41"/>
      <c r="F154" s="41"/>
      <c r="G154" s="41"/>
    </row>
    <row r="155" spans="1:7" ht="17.399999999999999" x14ac:dyDescent="0.35">
      <c r="A155" s="36"/>
      <c r="B155" s="37"/>
      <c r="C155" s="38"/>
      <c r="D155" s="37"/>
      <c r="E155" s="41"/>
      <c r="F155" s="41"/>
      <c r="G155" s="41"/>
    </row>
    <row r="156" spans="1:7" ht="17.399999999999999" x14ac:dyDescent="0.35">
      <c r="A156" s="36"/>
      <c r="B156" s="37"/>
      <c r="C156" s="38"/>
      <c r="D156" s="37"/>
      <c r="E156" s="41"/>
      <c r="F156" s="41"/>
      <c r="G156" s="41"/>
    </row>
    <row r="157" spans="1:7" ht="17.399999999999999" x14ac:dyDescent="0.35">
      <c r="A157" s="36"/>
      <c r="B157" s="37"/>
      <c r="C157" s="38"/>
      <c r="D157" s="37"/>
      <c r="E157" s="41"/>
      <c r="F157" s="41"/>
      <c r="G157" s="41"/>
    </row>
    <row r="158" spans="1:7" ht="17.399999999999999" x14ac:dyDescent="0.35">
      <c r="A158" s="36"/>
      <c r="B158" s="37"/>
      <c r="C158" s="38"/>
      <c r="D158" s="37"/>
      <c r="E158" s="41"/>
      <c r="F158" s="41"/>
      <c r="G158" s="41"/>
    </row>
    <row r="159" spans="1:7" ht="17.399999999999999" x14ac:dyDescent="0.35">
      <c r="A159" s="36"/>
      <c r="B159" s="37"/>
      <c r="C159" s="38"/>
      <c r="D159" s="37"/>
      <c r="E159" s="41"/>
      <c r="F159" s="41"/>
      <c r="G159" s="41"/>
    </row>
    <row r="160" spans="1:7" ht="17.399999999999999" x14ac:dyDescent="0.35">
      <c r="A160" s="36"/>
      <c r="B160" s="37"/>
      <c r="C160" s="38"/>
      <c r="D160" s="37"/>
      <c r="E160" s="41"/>
      <c r="F160" s="41"/>
      <c r="G160" s="41"/>
    </row>
    <row r="161" spans="1:7" ht="17.399999999999999" x14ac:dyDescent="0.35">
      <c r="A161" s="36"/>
      <c r="B161" s="37"/>
      <c r="C161" s="38"/>
      <c r="D161" s="37"/>
      <c r="E161" s="41"/>
      <c r="F161" s="41"/>
      <c r="G161" s="41"/>
    </row>
    <row r="162" spans="1:7" ht="17.399999999999999" x14ac:dyDescent="0.35">
      <c r="A162" s="36"/>
      <c r="B162" s="37"/>
      <c r="C162" s="38"/>
      <c r="D162" s="37"/>
      <c r="E162" s="41"/>
      <c r="F162" s="41"/>
      <c r="G162" s="41"/>
    </row>
    <row r="163" spans="1:7" ht="17.399999999999999" x14ac:dyDescent="0.35">
      <c r="A163" s="36"/>
      <c r="B163" s="37"/>
      <c r="C163" s="38"/>
      <c r="D163" s="37"/>
      <c r="E163" s="41"/>
      <c r="F163" s="41"/>
      <c r="G163" s="41"/>
    </row>
    <row r="164" spans="1:7" ht="17.399999999999999" x14ac:dyDescent="0.35">
      <c r="A164" s="36"/>
      <c r="B164" s="37"/>
      <c r="C164" s="38"/>
      <c r="D164" s="37"/>
      <c r="E164" s="41"/>
      <c r="F164" s="41"/>
      <c r="G164" s="41"/>
    </row>
    <row r="165" spans="1:7" ht="17.399999999999999" x14ac:dyDescent="0.35">
      <c r="A165" s="36"/>
      <c r="B165" s="37"/>
      <c r="C165" s="38"/>
      <c r="D165" s="37"/>
      <c r="E165" s="41"/>
      <c r="F165" s="41"/>
      <c r="G165" s="41"/>
    </row>
    <row r="166" spans="1:7" ht="17.399999999999999" x14ac:dyDescent="0.35">
      <c r="A166" s="36"/>
      <c r="B166" s="37"/>
      <c r="C166" s="38"/>
      <c r="D166" s="37"/>
      <c r="E166" s="41"/>
      <c r="F166" s="41"/>
      <c r="G166" s="41"/>
    </row>
    <row r="167" spans="1:7" ht="17.399999999999999" x14ac:dyDescent="0.35">
      <c r="A167" s="36"/>
      <c r="B167" s="37"/>
      <c r="C167" s="38"/>
      <c r="D167" s="37"/>
      <c r="E167" s="41"/>
      <c r="F167" s="41"/>
      <c r="G167" s="41"/>
    </row>
    <row r="168" spans="1:7" ht="17.399999999999999" x14ac:dyDescent="0.35">
      <c r="A168" s="36"/>
      <c r="B168" s="37"/>
      <c r="C168" s="38"/>
      <c r="D168" s="37"/>
      <c r="E168" s="41"/>
      <c r="F168" s="41"/>
      <c r="G168" s="41"/>
    </row>
    <row r="169" spans="1:7" ht="17.399999999999999" x14ac:dyDescent="0.35">
      <c r="A169" s="36"/>
      <c r="B169" s="37"/>
      <c r="C169" s="38"/>
      <c r="D169" s="37"/>
      <c r="E169" s="41"/>
      <c r="F169" s="41"/>
      <c r="G169" s="41"/>
    </row>
    <row r="170" spans="1:7" ht="17.399999999999999" x14ac:dyDescent="0.35">
      <c r="A170" s="36"/>
      <c r="B170" s="37"/>
      <c r="C170" s="38"/>
      <c r="D170" s="37"/>
      <c r="E170" s="41"/>
      <c r="F170" s="41"/>
      <c r="G170" s="41"/>
    </row>
    <row r="171" spans="1:7" ht="17.399999999999999" x14ac:dyDescent="0.35">
      <c r="A171" s="36"/>
      <c r="B171" s="37"/>
      <c r="C171" s="38"/>
      <c r="D171" s="37"/>
      <c r="E171" s="41"/>
      <c r="F171" s="41"/>
      <c r="G171" s="41"/>
    </row>
    <row r="172" spans="1:7" ht="17.399999999999999" x14ac:dyDescent="0.35">
      <c r="A172" s="36"/>
      <c r="B172" s="37"/>
      <c r="C172" s="38"/>
      <c r="D172" s="37"/>
      <c r="E172" s="41"/>
      <c r="F172" s="41"/>
      <c r="G172" s="41"/>
    </row>
    <row r="173" spans="1:7" ht="17.399999999999999" x14ac:dyDescent="0.35">
      <c r="A173" s="36"/>
      <c r="B173" s="37"/>
      <c r="C173" s="38"/>
      <c r="D173" s="37"/>
      <c r="E173" s="41"/>
      <c r="F173" s="41"/>
      <c r="G173" s="41"/>
    </row>
    <row r="174" spans="1:7" ht="17.399999999999999" x14ac:dyDescent="0.35">
      <c r="A174" s="36"/>
      <c r="B174" s="37"/>
      <c r="C174" s="38"/>
      <c r="D174" s="37"/>
      <c r="E174" s="41"/>
      <c r="F174" s="41"/>
      <c r="G174" s="41"/>
    </row>
    <row r="175" spans="1:7" ht="17.399999999999999" x14ac:dyDescent="0.35">
      <c r="A175" s="36"/>
      <c r="B175" s="37"/>
      <c r="C175" s="38"/>
      <c r="D175" s="37"/>
      <c r="E175" s="41"/>
      <c r="F175" s="41"/>
      <c r="G175" s="41"/>
    </row>
    <row r="176" spans="1:7" ht="17.399999999999999" x14ac:dyDescent="0.35">
      <c r="A176" s="36"/>
      <c r="B176" s="37"/>
      <c r="C176" s="38"/>
      <c r="D176" s="37"/>
      <c r="E176" s="41"/>
      <c r="F176" s="41"/>
      <c r="G176" s="41"/>
    </row>
    <row r="177" spans="1:7" ht="17.399999999999999" x14ac:dyDescent="0.35">
      <c r="A177" s="36"/>
      <c r="B177" s="37"/>
      <c r="C177" s="38"/>
      <c r="D177" s="37"/>
      <c r="E177" s="41"/>
      <c r="F177" s="41"/>
      <c r="G177" s="41"/>
    </row>
    <row r="178" spans="1:7" ht="17.399999999999999" x14ac:dyDescent="0.35">
      <c r="A178" s="36"/>
      <c r="B178" s="37"/>
      <c r="C178" s="38"/>
      <c r="D178" s="37"/>
      <c r="E178" s="41"/>
      <c r="F178" s="41"/>
      <c r="G178" s="41"/>
    </row>
    <row r="179" spans="1:7" ht="17.399999999999999" x14ac:dyDescent="0.35">
      <c r="A179" s="36"/>
      <c r="B179" s="37"/>
      <c r="C179" s="38"/>
      <c r="D179" s="37"/>
      <c r="E179" s="41"/>
      <c r="F179" s="41"/>
      <c r="G179" s="41"/>
    </row>
    <row r="180" spans="1:7" ht="17.399999999999999" x14ac:dyDescent="0.35">
      <c r="A180" s="36"/>
      <c r="B180" s="37"/>
      <c r="C180" s="38"/>
      <c r="D180" s="37"/>
      <c r="E180" s="41"/>
      <c r="F180" s="41"/>
      <c r="G180" s="41"/>
    </row>
    <row r="181" spans="1:7" ht="17.399999999999999" x14ac:dyDescent="0.35">
      <c r="A181" s="36"/>
      <c r="B181" s="37"/>
      <c r="C181" s="38"/>
      <c r="D181" s="37"/>
      <c r="E181" s="41"/>
      <c r="F181" s="41"/>
      <c r="G181" s="41"/>
    </row>
    <row r="182" spans="1:7" ht="17.399999999999999" x14ac:dyDescent="0.35">
      <c r="A182" s="36"/>
      <c r="B182" s="37"/>
      <c r="C182" s="38"/>
      <c r="D182" s="37"/>
      <c r="E182" s="41"/>
      <c r="F182" s="41"/>
      <c r="G182" s="41"/>
    </row>
    <row r="183" spans="1:7" ht="17.399999999999999" x14ac:dyDescent="0.35">
      <c r="A183" s="36"/>
      <c r="B183" s="37"/>
      <c r="C183" s="38"/>
      <c r="D183" s="37"/>
      <c r="E183" s="41"/>
      <c r="F183" s="41"/>
      <c r="G183" s="41"/>
    </row>
    <row r="184" spans="1:7" ht="17.399999999999999" x14ac:dyDescent="0.35">
      <c r="A184" s="36"/>
      <c r="B184" s="37"/>
      <c r="C184" s="38"/>
      <c r="D184" s="37"/>
      <c r="E184" s="41"/>
      <c r="F184" s="41"/>
      <c r="G184" s="41"/>
    </row>
    <row r="185" spans="1:7" ht="17.399999999999999" x14ac:dyDescent="0.35">
      <c r="A185" s="36"/>
      <c r="B185" s="37"/>
      <c r="C185" s="38"/>
      <c r="D185" s="37"/>
      <c r="E185" s="41"/>
      <c r="F185" s="41"/>
      <c r="G185" s="41"/>
    </row>
    <row r="186" spans="1:7" ht="17.399999999999999" x14ac:dyDescent="0.35">
      <c r="A186" s="36"/>
      <c r="B186" s="37"/>
      <c r="C186" s="38"/>
      <c r="D186" s="37"/>
      <c r="E186" s="41"/>
      <c r="F186" s="41"/>
      <c r="G186" s="41"/>
    </row>
    <row r="187" spans="1:7" ht="17.399999999999999" x14ac:dyDescent="0.35">
      <c r="A187" s="36"/>
      <c r="B187" s="37"/>
      <c r="C187" s="38"/>
      <c r="D187" s="37"/>
      <c r="E187" s="41"/>
      <c r="F187" s="41"/>
      <c r="G187" s="41"/>
    </row>
    <row r="188" spans="1:7" ht="17.399999999999999" x14ac:dyDescent="0.35">
      <c r="A188" s="36"/>
      <c r="B188" s="37"/>
      <c r="C188" s="38"/>
      <c r="D188" s="37"/>
      <c r="E188" s="41"/>
      <c r="F188" s="41"/>
      <c r="G188" s="41"/>
    </row>
    <row r="189" spans="1:7" ht="17.399999999999999" x14ac:dyDescent="0.35">
      <c r="A189" s="36"/>
      <c r="B189" s="37"/>
      <c r="C189" s="38"/>
      <c r="D189" s="37"/>
      <c r="E189" s="41"/>
      <c r="F189" s="41"/>
      <c r="G189" s="41"/>
    </row>
    <row r="190" spans="1:7" ht="17.399999999999999" x14ac:dyDescent="0.35">
      <c r="A190" s="36"/>
      <c r="B190" s="37"/>
      <c r="C190" s="38"/>
      <c r="D190" s="37"/>
      <c r="E190" s="41"/>
      <c r="F190" s="41"/>
      <c r="G190" s="41"/>
    </row>
    <row r="191" spans="1:7" ht="17.399999999999999" x14ac:dyDescent="0.35">
      <c r="A191" s="36"/>
      <c r="B191" s="37"/>
      <c r="C191" s="38"/>
      <c r="D191" s="37"/>
      <c r="E191" s="41"/>
      <c r="F191" s="41"/>
      <c r="G191" s="41"/>
    </row>
    <row r="192" spans="1:7" ht="17.399999999999999" x14ac:dyDescent="0.35">
      <c r="A192" s="36"/>
      <c r="B192" s="37"/>
      <c r="C192" s="38"/>
      <c r="D192" s="37"/>
      <c r="E192" s="41"/>
      <c r="F192" s="41"/>
      <c r="G192" s="41"/>
    </row>
    <row r="193" spans="1:7" ht="17.399999999999999" x14ac:dyDescent="0.35">
      <c r="A193" s="36"/>
      <c r="B193" s="37"/>
      <c r="C193" s="38"/>
      <c r="D193" s="37"/>
      <c r="E193" s="41"/>
      <c r="F193" s="41"/>
      <c r="G193" s="41"/>
    </row>
    <row r="194" spans="1:7" ht="17.399999999999999" x14ac:dyDescent="0.35">
      <c r="A194" s="36"/>
      <c r="B194" s="37"/>
      <c r="C194" s="38"/>
      <c r="D194" s="37"/>
      <c r="E194" s="41"/>
      <c r="F194" s="41"/>
      <c r="G194" s="41"/>
    </row>
    <row r="195" spans="1:7" ht="17.399999999999999" x14ac:dyDescent="0.35">
      <c r="A195" s="36"/>
      <c r="B195" s="37"/>
      <c r="C195" s="38"/>
      <c r="D195" s="37"/>
      <c r="E195" s="41"/>
      <c r="F195" s="41"/>
      <c r="G195" s="41"/>
    </row>
    <row r="196" spans="1:7" ht="17.399999999999999" x14ac:dyDescent="0.35">
      <c r="A196" s="36"/>
      <c r="B196" s="37"/>
      <c r="C196" s="38"/>
      <c r="D196" s="37"/>
      <c r="E196" s="41"/>
      <c r="F196" s="41"/>
      <c r="G196" s="41"/>
    </row>
    <row r="197" spans="1:7" ht="17.399999999999999" x14ac:dyDescent="0.35">
      <c r="A197" s="36"/>
      <c r="B197" s="37"/>
      <c r="C197" s="38"/>
      <c r="D197" s="37"/>
      <c r="E197" s="41"/>
      <c r="F197" s="41"/>
      <c r="G197" s="41"/>
    </row>
    <row r="198" spans="1:7" ht="17.399999999999999" x14ac:dyDescent="0.35">
      <c r="A198" s="36"/>
      <c r="B198" s="37"/>
      <c r="C198" s="38"/>
      <c r="D198" s="37"/>
      <c r="E198" s="41"/>
      <c r="F198" s="41"/>
      <c r="G198" s="41"/>
    </row>
    <row r="199" spans="1:7" ht="17.399999999999999" x14ac:dyDescent="0.35">
      <c r="A199" s="36"/>
      <c r="B199" s="37"/>
      <c r="C199" s="38"/>
      <c r="D199" s="37"/>
      <c r="E199" s="41"/>
      <c r="F199" s="41"/>
      <c r="G199" s="41"/>
    </row>
    <row r="200" spans="1:7" ht="17.399999999999999" x14ac:dyDescent="0.35">
      <c r="A200" s="36"/>
      <c r="B200" s="37"/>
      <c r="C200" s="38"/>
      <c r="D200" s="37"/>
      <c r="E200" s="41"/>
      <c r="F200" s="41"/>
      <c r="G200" s="41"/>
    </row>
    <row r="201" spans="1:7" ht="17.399999999999999" x14ac:dyDescent="0.35">
      <c r="A201" s="36"/>
      <c r="B201" s="37"/>
      <c r="C201" s="38"/>
      <c r="D201" s="37"/>
      <c r="E201" s="41"/>
      <c r="F201" s="41"/>
      <c r="G201" s="41"/>
    </row>
    <row r="202" spans="1:7" ht="17.399999999999999" x14ac:dyDescent="0.35">
      <c r="A202" s="36"/>
      <c r="B202" s="37"/>
      <c r="C202" s="38"/>
      <c r="D202" s="37"/>
      <c r="E202" s="41"/>
      <c r="F202" s="41"/>
      <c r="G202" s="41"/>
    </row>
    <row r="203" spans="1:7" ht="17.399999999999999" x14ac:dyDescent="0.35">
      <c r="A203" s="36"/>
      <c r="B203" s="37"/>
      <c r="C203" s="38"/>
      <c r="D203" s="37"/>
      <c r="E203" s="41"/>
      <c r="F203" s="41"/>
      <c r="G203" s="41"/>
    </row>
    <row r="204" spans="1:7" ht="17.399999999999999" x14ac:dyDescent="0.35">
      <c r="A204" s="36"/>
      <c r="B204" s="37"/>
      <c r="C204" s="38"/>
      <c r="D204" s="37"/>
      <c r="E204" s="41"/>
      <c r="F204" s="41"/>
      <c r="G204" s="41"/>
    </row>
    <row r="205" spans="1:7" ht="17.399999999999999" x14ac:dyDescent="0.35">
      <c r="A205" s="36"/>
      <c r="B205" s="37"/>
      <c r="C205" s="38"/>
      <c r="D205" s="37"/>
      <c r="E205" s="41"/>
      <c r="F205" s="41"/>
      <c r="G205" s="41"/>
    </row>
    <row r="206" spans="1:7" ht="17.399999999999999" x14ac:dyDescent="0.35">
      <c r="A206" s="36"/>
      <c r="B206" s="37"/>
      <c r="C206" s="38"/>
      <c r="D206" s="37"/>
      <c r="E206" s="41"/>
      <c r="F206" s="41"/>
      <c r="G206" s="41"/>
    </row>
    <row r="207" spans="1:7" ht="17.399999999999999" x14ac:dyDescent="0.35">
      <c r="A207" s="36"/>
      <c r="B207" s="37"/>
      <c r="C207" s="38"/>
      <c r="D207" s="37"/>
      <c r="E207" s="41"/>
      <c r="F207" s="41"/>
      <c r="G207" s="41"/>
    </row>
    <row r="208" spans="1:7" ht="17.399999999999999" x14ac:dyDescent="0.35">
      <c r="A208" s="36"/>
      <c r="B208" s="37"/>
      <c r="C208" s="38"/>
      <c r="D208" s="37"/>
      <c r="E208" s="41"/>
      <c r="F208" s="41"/>
      <c r="G208" s="41"/>
    </row>
    <row r="209" spans="1:7" ht="17.399999999999999" x14ac:dyDescent="0.35">
      <c r="A209" s="36"/>
      <c r="B209" s="37"/>
      <c r="C209" s="38"/>
      <c r="D209" s="37"/>
      <c r="E209" s="41"/>
      <c r="F209" s="41"/>
      <c r="G209" s="41"/>
    </row>
    <row r="210" spans="1:7" ht="17.399999999999999" x14ac:dyDescent="0.35">
      <c r="A210" s="36"/>
      <c r="B210" s="37"/>
      <c r="C210" s="38"/>
      <c r="D210" s="37"/>
      <c r="E210" s="41"/>
      <c r="F210" s="41"/>
      <c r="G210" s="41"/>
    </row>
    <row r="211" spans="1:7" ht="17.399999999999999" x14ac:dyDescent="0.35">
      <c r="A211" s="36"/>
      <c r="B211" s="37"/>
      <c r="C211" s="38"/>
      <c r="D211" s="37"/>
      <c r="E211" s="41"/>
      <c r="F211" s="41"/>
      <c r="G211" s="41"/>
    </row>
    <row r="212" spans="1:7" ht="17.399999999999999" x14ac:dyDescent="0.35">
      <c r="A212" s="36"/>
      <c r="B212" s="37"/>
      <c r="C212" s="38"/>
      <c r="D212" s="37"/>
      <c r="E212" s="41"/>
      <c r="F212" s="41"/>
      <c r="G212" s="41"/>
    </row>
    <row r="213" spans="1:7" ht="17.399999999999999" x14ac:dyDescent="0.35">
      <c r="A213" s="36"/>
      <c r="B213" s="37"/>
      <c r="C213" s="38"/>
      <c r="D213" s="37"/>
      <c r="E213" s="41"/>
      <c r="F213" s="41"/>
      <c r="G213" s="41"/>
    </row>
    <row r="214" spans="1:7" ht="17.399999999999999" x14ac:dyDescent="0.35">
      <c r="A214" s="36"/>
      <c r="B214" s="37"/>
      <c r="C214" s="38"/>
      <c r="D214" s="37"/>
      <c r="E214" s="41"/>
      <c r="F214" s="41"/>
      <c r="G214" s="41"/>
    </row>
    <row r="215" spans="1:7" ht="17.399999999999999" x14ac:dyDescent="0.35">
      <c r="A215" s="36"/>
      <c r="B215" s="37"/>
      <c r="C215" s="38"/>
      <c r="D215" s="37"/>
      <c r="E215" s="41"/>
      <c r="F215" s="41"/>
      <c r="G215" s="41"/>
    </row>
    <row r="216" spans="1:7" ht="17.399999999999999" x14ac:dyDescent="0.35">
      <c r="A216" s="36"/>
      <c r="B216" s="37"/>
      <c r="C216" s="38"/>
      <c r="D216" s="37"/>
      <c r="E216" s="41"/>
      <c r="F216" s="41"/>
      <c r="G216" s="41"/>
    </row>
    <row r="217" spans="1:7" ht="17.399999999999999" x14ac:dyDescent="0.35">
      <c r="A217" s="36"/>
      <c r="B217" s="37"/>
      <c r="C217" s="38"/>
      <c r="D217" s="37"/>
      <c r="E217" s="41"/>
      <c r="F217" s="41"/>
      <c r="G217" s="41"/>
    </row>
    <row r="218" spans="1:7" ht="17.399999999999999" x14ac:dyDescent="0.35">
      <c r="A218" s="36"/>
      <c r="B218" s="37"/>
      <c r="C218" s="38"/>
      <c r="D218" s="37"/>
      <c r="E218" s="41"/>
      <c r="F218" s="41"/>
      <c r="G218" s="41"/>
    </row>
    <row r="219" spans="1:7" ht="17.399999999999999" x14ac:dyDescent="0.35">
      <c r="A219" s="36"/>
      <c r="B219" s="37"/>
      <c r="C219" s="38"/>
      <c r="D219" s="37"/>
      <c r="E219" s="41"/>
      <c r="F219" s="41"/>
      <c r="G219" s="41"/>
    </row>
    <row r="220" spans="1:7" ht="17.399999999999999" x14ac:dyDescent="0.35">
      <c r="A220" s="36"/>
      <c r="B220" s="37"/>
      <c r="C220" s="38"/>
      <c r="D220" s="37"/>
      <c r="E220" s="41"/>
      <c r="F220" s="41"/>
      <c r="G220" s="41"/>
    </row>
    <row r="221" spans="1:7" ht="17.399999999999999" x14ac:dyDescent="0.35">
      <c r="A221" s="36"/>
      <c r="B221" s="37"/>
      <c r="C221" s="38"/>
      <c r="D221" s="37"/>
      <c r="E221" s="41"/>
      <c r="F221" s="41"/>
      <c r="G221" s="41"/>
    </row>
    <row r="222" spans="1:7" ht="17.399999999999999" x14ac:dyDescent="0.35">
      <c r="A222" s="36"/>
      <c r="B222" s="37"/>
      <c r="C222" s="38"/>
      <c r="D222" s="37"/>
      <c r="E222" s="41"/>
      <c r="F222" s="41"/>
      <c r="G222" s="41"/>
    </row>
    <row r="223" spans="1:7" ht="17.399999999999999" x14ac:dyDescent="0.35">
      <c r="A223" s="36"/>
      <c r="B223" s="37"/>
      <c r="C223" s="38"/>
      <c r="D223" s="37"/>
      <c r="E223" s="41"/>
      <c r="F223" s="41"/>
      <c r="G223" s="41"/>
    </row>
    <row r="224" spans="1:7" ht="17.399999999999999" x14ac:dyDescent="0.35">
      <c r="A224" s="36"/>
      <c r="B224" s="37"/>
      <c r="C224" s="38"/>
      <c r="D224" s="37"/>
      <c r="E224" s="41"/>
      <c r="F224" s="41"/>
      <c r="G224" s="41"/>
    </row>
    <row r="225" spans="1:7" ht="17.399999999999999" x14ac:dyDescent="0.35">
      <c r="A225" s="36"/>
      <c r="B225" s="37"/>
      <c r="C225" s="38"/>
      <c r="D225" s="37"/>
      <c r="E225" s="41"/>
      <c r="F225" s="41"/>
      <c r="G225" s="41"/>
    </row>
    <row r="226" spans="1:7" ht="17.399999999999999" x14ac:dyDescent="0.35">
      <c r="A226" s="36"/>
      <c r="B226" s="37"/>
      <c r="C226" s="38"/>
      <c r="D226" s="37"/>
      <c r="E226" s="41"/>
      <c r="F226" s="41"/>
      <c r="G226" s="41"/>
    </row>
    <row r="227" spans="1:7" ht="17.399999999999999" x14ac:dyDescent="0.35">
      <c r="A227" s="36"/>
      <c r="B227" s="37"/>
      <c r="C227" s="38"/>
      <c r="D227" s="37"/>
      <c r="E227" s="41"/>
      <c r="F227" s="41"/>
      <c r="G227" s="41"/>
    </row>
    <row r="228" spans="1:7" ht="17.399999999999999" x14ac:dyDescent="0.35">
      <c r="A228" s="36"/>
      <c r="B228" s="37"/>
      <c r="C228" s="38"/>
      <c r="D228" s="37"/>
      <c r="E228" s="41"/>
      <c r="F228" s="41"/>
      <c r="G228" s="41"/>
    </row>
    <row r="229" spans="1:7" ht="17.399999999999999" x14ac:dyDescent="0.35">
      <c r="A229" s="36"/>
      <c r="B229" s="37"/>
      <c r="C229" s="38"/>
      <c r="D229" s="37"/>
      <c r="E229" s="41"/>
      <c r="F229" s="41"/>
      <c r="G229" s="41"/>
    </row>
    <row r="230" spans="1:7" ht="17.399999999999999" x14ac:dyDescent="0.35">
      <c r="A230" s="36"/>
      <c r="B230" s="37"/>
      <c r="C230" s="38"/>
      <c r="D230" s="37"/>
      <c r="E230" s="41"/>
      <c r="F230" s="41"/>
      <c r="G230" s="41"/>
    </row>
    <row r="231" spans="1:7" ht="17.399999999999999" x14ac:dyDescent="0.35">
      <c r="A231" s="36"/>
      <c r="B231" s="37"/>
      <c r="C231" s="38"/>
      <c r="D231" s="37"/>
      <c r="E231" s="41"/>
      <c r="F231" s="41"/>
      <c r="G231" s="41"/>
    </row>
    <row r="232" spans="1:7" ht="17.399999999999999" x14ac:dyDescent="0.35">
      <c r="A232" s="36"/>
      <c r="B232" s="37"/>
      <c r="C232" s="38"/>
      <c r="D232" s="37"/>
      <c r="E232" s="41"/>
      <c r="F232" s="41"/>
      <c r="G232" s="41"/>
    </row>
    <row r="233" spans="1:7" ht="17.399999999999999" x14ac:dyDescent="0.35">
      <c r="A233" s="36"/>
      <c r="B233" s="37"/>
      <c r="C233" s="38"/>
      <c r="D233" s="37"/>
      <c r="E233" s="41"/>
      <c r="F233" s="41"/>
      <c r="G233" s="41"/>
    </row>
    <row r="234" spans="1:7" ht="17.399999999999999" x14ac:dyDescent="0.35">
      <c r="A234" s="36"/>
      <c r="B234" s="37"/>
      <c r="C234" s="38"/>
      <c r="D234" s="37"/>
      <c r="E234" s="41"/>
      <c r="F234" s="41"/>
      <c r="G234" s="41"/>
    </row>
    <row r="235" spans="1:7" ht="17.399999999999999" x14ac:dyDescent="0.35">
      <c r="A235" s="36"/>
      <c r="B235" s="37"/>
      <c r="C235" s="38"/>
      <c r="D235" s="37"/>
      <c r="E235" s="41"/>
      <c r="F235" s="41"/>
      <c r="G235" s="41"/>
    </row>
    <row r="236" spans="1:7" ht="17.399999999999999" x14ac:dyDescent="0.35">
      <c r="A236" s="36"/>
      <c r="B236" s="37"/>
      <c r="C236" s="38"/>
      <c r="D236" s="37"/>
      <c r="E236" s="41"/>
      <c r="F236" s="41"/>
      <c r="G236" s="41"/>
    </row>
    <row r="237" spans="1:7" ht="17.399999999999999" x14ac:dyDescent="0.35">
      <c r="A237" s="36"/>
      <c r="B237" s="37"/>
      <c r="C237" s="38"/>
      <c r="D237" s="37"/>
      <c r="E237" s="41"/>
      <c r="F237" s="41"/>
      <c r="G237" s="41"/>
    </row>
    <row r="238" spans="1:7" ht="17.399999999999999" x14ac:dyDescent="0.35">
      <c r="A238" s="36"/>
      <c r="B238" s="37"/>
      <c r="C238" s="38"/>
      <c r="D238" s="37"/>
      <c r="E238" s="41"/>
      <c r="F238" s="41"/>
      <c r="G238" s="41"/>
    </row>
    <row r="239" spans="1:7" ht="17.399999999999999" x14ac:dyDescent="0.35">
      <c r="A239" s="36"/>
      <c r="B239" s="37"/>
      <c r="C239" s="38"/>
      <c r="D239" s="37"/>
      <c r="E239" s="41"/>
      <c r="F239" s="41"/>
      <c r="G239" s="41"/>
    </row>
    <row r="240" spans="1:7" ht="17.399999999999999" x14ac:dyDescent="0.35">
      <c r="A240" s="36"/>
      <c r="B240" s="37"/>
      <c r="C240" s="38"/>
      <c r="D240" s="37"/>
      <c r="E240" s="41"/>
      <c r="F240" s="41"/>
      <c r="G240" s="41"/>
    </row>
    <row r="241" spans="1:7" ht="17.399999999999999" x14ac:dyDescent="0.35">
      <c r="A241" s="36"/>
      <c r="B241" s="37"/>
      <c r="C241" s="38"/>
      <c r="D241" s="37"/>
      <c r="E241" s="41"/>
      <c r="F241" s="41"/>
      <c r="G241" s="41"/>
    </row>
    <row r="242" spans="1:7" ht="17.399999999999999" x14ac:dyDescent="0.35">
      <c r="A242" s="36"/>
      <c r="B242" s="37"/>
      <c r="C242" s="38"/>
      <c r="D242" s="37"/>
      <c r="E242" s="41"/>
      <c r="F242" s="41"/>
      <c r="G242" s="41"/>
    </row>
    <row r="243" spans="1:7" ht="17.399999999999999" x14ac:dyDescent="0.35">
      <c r="A243" s="36"/>
      <c r="B243" s="37"/>
      <c r="C243" s="38"/>
      <c r="D243" s="37"/>
      <c r="E243" s="41"/>
      <c r="F243" s="41"/>
      <c r="G243" s="41"/>
    </row>
    <row r="244" spans="1:7" ht="17.399999999999999" x14ac:dyDescent="0.35">
      <c r="A244" s="36"/>
      <c r="B244" s="37"/>
      <c r="C244" s="38"/>
      <c r="D244" s="37"/>
      <c r="E244" s="41"/>
      <c r="F244" s="41"/>
      <c r="G244" s="41"/>
    </row>
    <row r="245" spans="1:7" ht="17.399999999999999" x14ac:dyDescent="0.35">
      <c r="A245" s="36"/>
      <c r="B245" s="37"/>
      <c r="C245" s="38"/>
      <c r="D245" s="37"/>
      <c r="E245" s="41"/>
      <c r="F245" s="41"/>
      <c r="G245" s="41"/>
    </row>
    <row r="246" spans="1:7" ht="17.399999999999999" x14ac:dyDescent="0.35">
      <c r="A246" s="36"/>
      <c r="B246" s="37"/>
      <c r="C246" s="38"/>
      <c r="D246" s="37"/>
      <c r="E246" s="41"/>
      <c r="F246" s="41"/>
      <c r="G246" s="41"/>
    </row>
    <row r="247" spans="1:7" ht="17.399999999999999" x14ac:dyDescent="0.35">
      <c r="A247" s="36"/>
      <c r="B247" s="37"/>
      <c r="C247" s="38"/>
      <c r="D247" s="37"/>
      <c r="E247" s="41"/>
      <c r="F247" s="41"/>
      <c r="G247" s="41"/>
    </row>
    <row r="248" spans="1:7" ht="17.399999999999999" x14ac:dyDescent="0.35">
      <c r="A248" s="36"/>
      <c r="B248" s="37"/>
      <c r="C248" s="38"/>
      <c r="D248" s="37"/>
      <c r="E248" s="41"/>
      <c r="F248" s="41"/>
      <c r="G248" s="41"/>
    </row>
    <row r="249" spans="1:7" ht="17.399999999999999" x14ac:dyDescent="0.35">
      <c r="A249" s="36"/>
      <c r="B249" s="37"/>
      <c r="C249" s="38"/>
      <c r="D249" s="37"/>
      <c r="E249" s="41"/>
      <c r="F249" s="41"/>
      <c r="G249" s="41"/>
    </row>
    <row r="250" spans="1:7" ht="17.399999999999999" x14ac:dyDescent="0.35">
      <c r="A250" s="36"/>
      <c r="B250" s="37"/>
      <c r="C250" s="38"/>
      <c r="D250" s="37"/>
      <c r="E250" s="41"/>
      <c r="F250" s="41"/>
      <c r="G250" s="41"/>
    </row>
    <row r="251" spans="1:7" ht="17.399999999999999" x14ac:dyDescent="0.35">
      <c r="A251" s="36"/>
      <c r="B251" s="37"/>
      <c r="C251" s="38"/>
      <c r="D251" s="37"/>
      <c r="E251" s="41"/>
      <c r="F251" s="41"/>
      <c r="G251" s="41"/>
    </row>
    <row r="252" spans="1:7" ht="17.399999999999999" x14ac:dyDescent="0.35">
      <c r="A252" s="36"/>
      <c r="B252" s="37"/>
      <c r="C252" s="38"/>
      <c r="D252" s="37"/>
      <c r="E252" s="41"/>
      <c r="F252" s="41"/>
      <c r="G252" s="41"/>
    </row>
    <row r="253" spans="1:7" ht="17.399999999999999" x14ac:dyDescent="0.35">
      <c r="A253" s="36"/>
      <c r="B253" s="37"/>
      <c r="C253" s="38"/>
      <c r="D253" s="37"/>
      <c r="E253" s="41"/>
      <c r="F253" s="41"/>
      <c r="G253" s="41"/>
    </row>
    <row r="254" spans="1:7" ht="17.399999999999999" x14ac:dyDescent="0.35">
      <c r="A254" s="36"/>
      <c r="B254" s="37"/>
      <c r="C254" s="38"/>
      <c r="D254" s="37"/>
      <c r="E254" s="41"/>
      <c r="F254" s="41"/>
      <c r="G254" s="41"/>
    </row>
    <row r="255" spans="1:7" ht="17.399999999999999" x14ac:dyDescent="0.35">
      <c r="A255" s="36"/>
      <c r="B255" s="37"/>
      <c r="C255" s="38"/>
      <c r="D255" s="37"/>
      <c r="E255" s="41"/>
      <c r="F255" s="41"/>
      <c r="G255" s="41"/>
    </row>
    <row r="256" spans="1:7" ht="17.399999999999999" x14ac:dyDescent="0.35">
      <c r="A256" s="36"/>
      <c r="B256" s="37"/>
      <c r="C256" s="38"/>
      <c r="D256" s="37"/>
      <c r="E256" s="41"/>
      <c r="F256" s="41"/>
      <c r="G256" s="41"/>
    </row>
    <row r="257" spans="1:7" ht="17.399999999999999" x14ac:dyDescent="0.35">
      <c r="A257" s="36"/>
      <c r="B257" s="37"/>
      <c r="C257" s="38"/>
      <c r="D257" s="37"/>
      <c r="E257" s="41"/>
      <c r="F257" s="41"/>
      <c r="G257" s="41"/>
    </row>
    <row r="258" spans="1:7" ht="17.399999999999999" x14ac:dyDescent="0.35">
      <c r="A258" s="36"/>
      <c r="B258" s="37"/>
      <c r="C258" s="38"/>
      <c r="D258" s="37"/>
      <c r="E258" s="41"/>
      <c r="F258" s="41"/>
      <c r="G258" s="41"/>
    </row>
    <row r="259" spans="1:7" ht="17.399999999999999" x14ac:dyDescent="0.35">
      <c r="A259" s="36"/>
      <c r="B259" s="37"/>
      <c r="C259" s="38"/>
      <c r="D259" s="37"/>
      <c r="E259" s="41"/>
      <c r="F259" s="41"/>
      <c r="G259" s="41"/>
    </row>
    <row r="260" spans="1:7" ht="17.399999999999999" x14ac:dyDescent="0.35">
      <c r="A260" s="36"/>
      <c r="B260" s="37"/>
      <c r="C260" s="38"/>
      <c r="D260" s="37"/>
      <c r="E260" s="41"/>
      <c r="F260" s="41"/>
      <c r="G260" s="41"/>
    </row>
    <row r="261" spans="1:7" ht="17.399999999999999" x14ac:dyDescent="0.35">
      <c r="A261" s="36"/>
      <c r="B261" s="37"/>
      <c r="C261" s="38"/>
      <c r="D261" s="37"/>
      <c r="E261" s="41"/>
      <c r="F261" s="41"/>
      <c r="G261" s="41"/>
    </row>
    <row r="262" spans="1:7" ht="17.399999999999999" x14ac:dyDescent="0.35">
      <c r="A262" s="36"/>
      <c r="B262" s="37"/>
      <c r="C262" s="38"/>
      <c r="D262" s="37"/>
      <c r="E262" s="41"/>
      <c r="F262" s="41"/>
      <c r="G262" s="41"/>
    </row>
    <row r="263" spans="1:7" ht="17.399999999999999" x14ac:dyDescent="0.35">
      <c r="A263" s="36"/>
      <c r="B263" s="37"/>
      <c r="C263" s="38"/>
      <c r="D263" s="37"/>
      <c r="E263" s="41"/>
      <c r="F263" s="41"/>
      <c r="G263" s="41"/>
    </row>
    <row r="264" spans="1:7" ht="17.399999999999999" x14ac:dyDescent="0.35">
      <c r="A264" s="36"/>
      <c r="B264" s="37"/>
      <c r="C264" s="38"/>
      <c r="D264" s="37"/>
      <c r="E264" s="41"/>
      <c r="F264" s="41"/>
      <c r="G264" s="41"/>
    </row>
    <row r="265" spans="1:7" ht="17.399999999999999" x14ac:dyDescent="0.35">
      <c r="A265" s="36"/>
      <c r="B265" s="37"/>
      <c r="C265" s="38"/>
      <c r="D265" s="37"/>
      <c r="E265" s="41"/>
      <c r="F265" s="41"/>
      <c r="G265" s="41"/>
    </row>
    <row r="266" spans="1:7" ht="17.399999999999999" x14ac:dyDescent="0.35">
      <c r="A266" s="36"/>
      <c r="B266" s="37"/>
      <c r="C266" s="38"/>
      <c r="D266" s="37"/>
      <c r="E266" s="41"/>
      <c r="F266" s="41"/>
      <c r="G266" s="41"/>
    </row>
    <row r="267" spans="1:7" ht="17.399999999999999" x14ac:dyDescent="0.35">
      <c r="A267" s="36"/>
      <c r="B267" s="37"/>
      <c r="C267" s="38"/>
      <c r="D267" s="37"/>
      <c r="E267" s="41"/>
      <c r="F267" s="41"/>
      <c r="G267" s="41"/>
    </row>
    <row r="268" spans="1:7" ht="17.399999999999999" x14ac:dyDescent="0.35">
      <c r="A268" s="36"/>
      <c r="B268" s="37"/>
      <c r="C268" s="38"/>
      <c r="D268" s="37"/>
      <c r="E268" s="41"/>
      <c r="F268" s="41"/>
      <c r="G268" s="41"/>
    </row>
    <row r="269" spans="1:7" ht="17.399999999999999" x14ac:dyDescent="0.35">
      <c r="A269" s="36"/>
      <c r="B269" s="37"/>
      <c r="C269" s="38"/>
      <c r="D269" s="37"/>
      <c r="E269" s="41"/>
      <c r="F269" s="41"/>
      <c r="G269" s="41"/>
    </row>
    <row r="270" spans="1:7" ht="17.399999999999999" x14ac:dyDescent="0.35">
      <c r="A270" s="36"/>
      <c r="B270" s="37"/>
      <c r="C270" s="38"/>
      <c r="D270" s="37"/>
      <c r="E270" s="41"/>
      <c r="F270" s="41"/>
      <c r="G270" s="41"/>
    </row>
    <row r="271" spans="1:7" ht="17.399999999999999" x14ac:dyDescent="0.35">
      <c r="A271" s="36"/>
      <c r="B271" s="37"/>
      <c r="C271" s="38"/>
      <c r="D271" s="37"/>
      <c r="E271" s="41"/>
      <c r="F271" s="41"/>
      <c r="G271" s="41"/>
    </row>
    <row r="272" spans="1:7" ht="17.399999999999999" x14ac:dyDescent="0.35">
      <c r="A272" s="36"/>
      <c r="B272" s="37"/>
      <c r="C272" s="38"/>
      <c r="D272" s="37"/>
      <c r="E272" s="41"/>
      <c r="F272" s="41"/>
      <c r="G272" s="41"/>
    </row>
    <row r="273" spans="1:7" ht="17.399999999999999" x14ac:dyDescent="0.35">
      <c r="A273" s="36"/>
      <c r="B273" s="37"/>
      <c r="C273" s="38"/>
      <c r="D273" s="37"/>
      <c r="E273" s="41"/>
      <c r="F273" s="41"/>
      <c r="G273" s="41"/>
    </row>
    <row r="274" spans="1:7" ht="17.399999999999999" x14ac:dyDescent="0.35">
      <c r="A274" s="36"/>
      <c r="B274" s="37"/>
      <c r="C274" s="38"/>
      <c r="D274" s="37"/>
      <c r="E274" s="41"/>
      <c r="F274" s="41"/>
      <c r="G274" s="41"/>
    </row>
    <row r="275" spans="1:7" ht="17.399999999999999" x14ac:dyDescent="0.35">
      <c r="A275" s="36"/>
      <c r="B275" s="37"/>
      <c r="C275" s="38"/>
      <c r="D275" s="37"/>
      <c r="E275" s="41"/>
      <c r="F275" s="41"/>
      <c r="G275" s="41"/>
    </row>
    <row r="276" spans="1:7" ht="17.399999999999999" x14ac:dyDescent="0.35">
      <c r="A276" s="36"/>
      <c r="B276" s="37"/>
      <c r="C276" s="38"/>
      <c r="D276" s="37"/>
      <c r="E276" s="41"/>
      <c r="F276" s="41"/>
      <c r="G276" s="41"/>
    </row>
    <row r="277" spans="1:7" ht="17.399999999999999" x14ac:dyDescent="0.35">
      <c r="A277" s="36"/>
      <c r="B277" s="37"/>
      <c r="C277" s="38"/>
      <c r="D277" s="37"/>
      <c r="E277" s="41"/>
      <c r="F277" s="41"/>
      <c r="G277" s="41"/>
    </row>
    <row r="278" spans="1:7" ht="17.399999999999999" x14ac:dyDescent="0.35">
      <c r="A278" s="36"/>
      <c r="B278" s="37"/>
      <c r="C278" s="38"/>
      <c r="D278" s="37"/>
      <c r="E278" s="41"/>
      <c r="F278" s="41"/>
      <c r="G278" s="41"/>
    </row>
    <row r="279" spans="1:7" ht="17.399999999999999" x14ac:dyDescent="0.35">
      <c r="A279" s="36"/>
      <c r="B279" s="37"/>
      <c r="C279" s="38"/>
      <c r="D279" s="37"/>
      <c r="E279" s="41"/>
      <c r="F279" s="41"/>
      <c r="G279" s="41"/>
    </row>
    <row r="280" spans="1:7" ht="17.399999999999999" x14ac:dyDescent="0.35">
      <c r="A280" s="36"/>
      <c r="B280" s="37"/>
      <c r="C280" s="38"/>
      <c r="D280" s="37"/>
      <c r="E280" s="41"/>
      <c r="F280" s="41"/>
      <c r="G280" s="41"/>
    </row>
    <row r="281" spans="1:7" ht="17.399999999999999" x14ac:dyDescent="0.35">
      <c r="A281" s="36"/>
      <c r="B281" s="37"/>
      <c r="C281" s="38"/>
      <c r="D281" s="37"/>
      <c r="E281" s="41"/>
      <c r="F281" s="41"/>
      <c r="G281" s="41"/>
    </row>
    <row r="282" spans="1:7" ht="17.399999999999999" x14ac:dyDescent="0.35">
      <c r="A282" s="36"/>
      <c r="B282" s="37"/>
      <c r="C282" s="38"/>
      <c r="D282" s="37"/>
      <c r="E282" s="41"/>
      <c r="F282" s="41"/>
      <c r="G282" s="41"/>
    </row>
    <row r="283" spans="1:7" ht="17.399999999999999" x14ac:dyDescent="0.35">
      <c r="A283" s="36"/>
      <c r="B283" s="37"/>
      <c r="C283" s="38"/>
      <c r="D283" s="37"/>
      <c r="E283" s="41"/>
      <c r="F283" s="41"/>
      <c r="G283" s="41"/>
    </row>
    <row r="284" spans="1:7" ht="17.399999999999999" x14ac:dyDescent="0.35">
      <c r="A284" s="36"/>
      <c r="B284" s="37"/>
      <c r="C284" s="38"/>
      <c r="D284" s="37"/>
      <c r="E284" s="41"/>
      <c r="F284" s="41"/>
      <c r="G284" s="41"/>
    </row>
    <row r="285" spans="1:7" ht="17.399999999999999" x14ac:dyDescent="0.35">
      <c r="A285" s="36"/>
      <c r="B285" s="37"/>
      <c r="C285" s="38"/>
      <c r="D285" s="37"/>
      <c r="E285" s="41"/>
      <c r="F285" s="41"/>
      <c r="G285" s="41"/>
    </row>
    <row r="286" spans="1:7" ht="17.399999999999999" x14ac:dyDescent="0.35">
      <c r="A286" s="36"/>
      <c r="B286" s="37"/>
      <c r="C286" s="38"/>
      <c r="D286" s="37"/>
      <c r="E286" s="41"/>
      <c r="F286" s="41"/>
      <c r="G286" s="41"/>
    </row>
    <row r="287" spans="1:7" ht="17.399999999999999" x14ac:dyDescent="0.35">
      <c r="A287" s="36"/>
      <c r="B287" s="37"/>
      <c r="C287" s="38"/>
      <c r="D287" s="37"/>
      <c r="E287" s="41"/>
      <c r="F287" s="41"/>
      <c r="G287" s="41"/>
    </row>
    <row r="288" spans="1:7" ht="17.399999999999999" x14ac:dyDescent="0.35">
      <c r="A288" s="36"/>
      <c r="B288" s="37"/>
      <c r="C288" s="38"/>
      <c r="D288" s="37"/>
      <c r="E288" s="41"/>
      <c r="F288" s="41"/>
      <c r="G288" s="41"/>
    </row>
    <row r="289" spans="1:7" ht="17.399999999999999" x14ac:dyDescent="0.35">
      <c r="A289" s="36"/>
      <c r="B289" s="37"/>
      <c r="C289" s="38"/>
      <c r="D289" s="37"/>
      <c r="E289" s="41"/>
      <c r="F289" s="41"/>
      <c r="G289" s="41"/>
    </row>
    <row r="290" spans="1:7" ht="17.399999999999999" x14ac:dyDescent="0.35">
      <c r="A290" s="36"/>
      <c r="B290" s="37"/>
      <c r="C290" s="38"/>
      <c r="D290" s="37"/>
      <c r="E290" s="41"/>
      <c r="F290" s="41"/>
      <c r="G290" s="41"/>
    </row>
    <row r="291" spans="1:7" ht="17.399999999999999" x14ac:dyDescent="0.35">
      <c r="A291" s="36"/>
      <c r="B291" s="37"/>
      <c r="C291" s="38"/>
      <c r="D291" s="37"/>
      <c r="E291" s="41"/>
      <c r="F291" s="41"/>
      <c r="G291" s="41"/>
    </row>
    <row r="292" spans="1:7" ht="17.399999999999999" x14ac:dyDescent="0.35">
      <c r="A292" s="36"/>
      <c r="B292" s="37"/>
      <c r="C292" s="38"/>
      <c r="D292" s="37"/>
      <c r="E292" s="41"/>
      <c r="F292" s="41"/>
      <c r="G292" s="41"/>
    </row>
    <row r="293" spans="1:7" ht="17.399999999999999" x14ac:dyDescent="0.35">
      <c r="A293" s="36"/>
      <c r="B293" s="37"/>
      <c r="C293" s="38"/>
      <c r="D293" s="37"/>
      <c r="E293" s="41"/>
      <c r="F293" s="41"/>
      <c r="G293" s="41"/>
    </row>
    <row r="294" spans="1:7" ht="17.399999999999999" x14ac:dyDescent="0.35">
      <c r="A294" s="36"/>
      <c r="B294" s="37"/>
      <c r="C294" s="38"/>
      <c r="D294" s="37"/>
      <c r="E294" s="41"/>
      <c r="F294" s="41"/>
      <c r="G294" s="41"/>
    </row>
    <row r="295" spans="1:7" ht="17.399999999999999" x14ac:dyDescent="0.35">
      <c r="A295" s="36"/>
      <c r="B295" s="37"/>
      <c r="C295" s="38"/>
      <c r="D295" s="37"/>
      <c r="E295" s="41"/>
      <c r="F295" s="41"/>
      <c r="G295" s="41"/>
    </row>
    <row r="296" spans="1:7" ht="17.399999999999999" x14ac:dyDescent="0.35">
      <c r="A296" s="36"/>
      <c r="B296" s="37"/>
      <c r="C296" s="38"/>
      <c r="D296" s="37"/>
      <c r="E296" s="41"/>
      <c r="F296" s="41"/>
      <c r="G296" s="41"/>
    </row>
    <row r="297" spans="1:7" ht="17.399999999999999" x14ac:dyDescent="0.35">
      <c r="A297" s="36"/>
      <c r="B297" s="37"/>
      <c r="C297" s="38"/>
      <c r="D297" s="37"/>
      <c r="E297" s="41"/>
      <c r="F297" s="41"/>
      <c r="G297" s="41"/>
    </row>
    <row r="298" spans="1:7" ht="17.399999999999999" x14ac:dyDescent="0.35">
      <c r="A298" s="36"/>
      <c r="B298" s="37"/>
      <c r="C298" s="38"/>
      <c r="D298" s="37"/>
      <c r="E298" s="41"/>
      <c r="F298" s="41"/>
      <c r="G298" s="41"/>
    </row>
    <row r="299" spans="1:7" ht="17.399999999999999" x14ac:dyDescent="0.35">
      <c r="A299" s="36"/>
      <c r="B299" s="37"/>
      <c r="C299" s="38"/>
      <c r="D299" s="37"/>
      <c r="E299" s="41"/>
      <c r="F299" s="41"/>
      <c r="G299" s="41"/>
    </row>
    <row r="300" spans="1:7" ht="17.399999999999999" x14ac:dyDescent="0.35">
      <c r="A300" s="36"/>
      <c r="B300" s="37"/>
      <c r="C300" s="38"/>
      <c r="D300" s="37"/>
      <c r="E300" s="41"/>
      <c r="F300" s="41"/>
      <c r="G300" s="41"/>
    </row>
    <row r="301" spans="1:7" ht="17.399999999999999" x14ac:dyDescent="0.35">
      <c r="A301" s="36"/>
      <c r="B301" s="37"/>
      <c r="C301" s="38"/>
      <c r="D301" s="37"/>
      <c r="E301" s="41"/>
      <c r="F301" s="41"/>
      <c r="G301" s="41"/>
    </row>
    <row r="302" spans="1:7" ht="17.399999999999999" x14ac:dyDescent="0.35">
      <c r="A302" s="36"/>
      <c r="B302" s="37"/>
      <c r="C302" s="38"/>
      <c r="D302" s="37"/>
      <c r="E302" s="41"/>
      <c r="F302" s="41"/>
      <c r="G302" s="41"/>
    </row>
    <row r="303" spans="1:7" ht="17.399999999999999" x14ac:dyDescent="0.35">
      <c r="A303" s="36"/>
      <c r="B303" s="37"/>
      <c r="C303" s="38"/>
      <c r="D303" s="37"/>
      <c r="E303" s="41"/>
      <c r="F303" s="41"/>
      <c r="G303" s="41"/>
    </row>
    <row r="304" spans="1:7" ht="17.399999999999999" x14ac:dyDescent="0.35">
      <c r="A304" s="36"/>
      <c r="B304" s="37"/>
      <c r="C304" s="38"/>
      <c r="D304" s="37"/>
      <c r="E304" s="41"/>
      <c r="F304" s="41"/>
      <c r="G304" s="41"/>
    </row>
    <row r="305" spans="1:7" ht="17.399999999999999" x14ac:dyDescent="0.35">
      <c r="A305" s="36"/>
      <c r="B305" s="37"/>
      <c r="C305" s="38"/>
      <c r="D305" s="37"/>
      <c r="E305" s="41"/>
      <c r="F305" s="41"/>
      <c r="G305" s="41"/>
    </row>
    <row r="306" spans="1:7" ht="17.399999999999999" x14ac:dyDescent="0.35">
      <c r="A306" s="36"/>
      <c r="B306" s="37"/>
      <c r="C306" s="38"/>
      <c r="D306" s="37"/>
      <c r="E306" s="41"/>
      <c r="F306" s="41"/>
      <c r="G306" s="41"/>
    </row>
    <row r="307" spans="1:7" ht="17.399999999999999" x14ac:dyDescent="0.35">
      <c r="A307" s="36"/>
      <c r="B307" s="37"/>
      <c r="C307" s="38"/>
      <c r="D307" s="37"/>
      <c r="E307" s="41"/>
      <c r="F307" s="41"/>
      <c r="G307" s="41"/>
    </row>
    <row r="308" spans="1:7" ht="17.399999999999999" x14ac:dyDescent="0.35">
      <c r="A308" s="36"/>
      <c r="B308" s="37"/>
      <c r="C308" s="38"/>
      <c r="D308" s="37"/>
      <c r="E308" s="41"/>
      <c r="F308" s="41"/>
      <c r="G308" s="41"/>
    </row>
    <row r="309" spans="1:7" ht="17.399999999999999" x14ac:dyDescent="0.35">
      <c r="A309" s="36"/>
      <c r="B309" s="37"/>
      <c r="C309" s="38"/>
      <c r="D309" s="37"/>
      <c r="E309" s="41"/>
      <c r="F309" s="41"/>
      <c r="G309" s="41"/>
    </row>
    <row r="310" spans="1:7" ht="17.399999999999999" x14ac:dyDescent="0.35">
      <c r="A310" s="36"/>
      <c r="B310" s="37"/>
      <c r="C310" s="38"/>
      <c r="D310" s="37"/>
      <c r="E310" s="41"/>
      <c r="F310" s="41"/>
      <c r="G310" s="41"/>
    </row>
  </sheetData>
  <mergeCells count="4">
    <mergeCell ref="F6:G6"/>
    <mergeCell ref="B6:C6"/>
    <mergeCell ref="B7:C7"/>
    <mergeCell ref="F7:G7"/>
  </mergeCells>
  <conditionalFormatting sqref="A21:G310">
    <cfRule type="expression" dxfId="17" priority="1" stopIfTrue="1">
      <formula>LEFT($A21,5)="Class"</formula>
    </cfRule>
    <cfRule type="expression" dxfId="16" priority="2" stopIfTrue="1">
      <formula>LEFT($A21,5)="Rider"</formula>
    </cfRule>
    <cfRule type="expression" dxfId="15" priority="3" stopIfTrue="1">
      <formula>$A21=0</formula>
    </cfRule>
    <cfRule type="expression" dxfId="14" priority="5">
      <formula>MOD(ROW(),2)=1</formula>
    </cfRule>
  </conditionalFormatting>
  <pageMargins left="0.74803149606299213" right="0.74803149606299213" top="0.98425196850393704" bottom="0.98425196850393704" header="0.51181102362204722" footer="0.51181102362204722"/>
  <pageSetup paperSize="9" scale="59" fitToHeight="0" orientation="portrait" verticalDpi="3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2BBCFA-4A60-4062-8181-102D7E1B1DE5}">
  <sheetPr>
    <pageSetUpPr fitToPage="1"/>
  </sheetPr>
  <dimension ref="A1:K310"/>
  <sheetViews>
    <sheetView zoomScale="80" zoomScaleNormal="80" workbookViewId="0">
      <selection activeCell="A21" sqref="A21"/>
    </sheetView>
  </sheetViews>
  <sheetFormatPr defaultColWidth="8.69921875" defaultRowHeight="14.4" x14ac:dyDescent="0.3"/>
  <cols>
    <col min="1" max="1" width="25.69921875" style="14" customWidth="1"/>
    <col min="2" max="2" width="25.69921875" style="14" hidden="1" customWidth="1"/>
    <col min="3" max="3" width="22" style="14" customWidth="1"/>
    <col min="4" max="4" width="25.69921875" style="14" customWidth="1"/>
    <col min="5" max="5" width="12.69921875" style="35" customWidth="1"/>
    <col min="6" max="8" width="15.69921875" style="14" customWidth="1"/>
    <col min="9" max="9" width="16.09765625" style="14" customWidth="1"/>
    <col min="10" max="11" width="8.69921875" style="14" customWidth="1"/>
    <col min="12" max="12" width="6.3984375" style="14" customWidth="1"/>
    <col min="13" max="16384" width="8.69921875" style="14"/>
  </cols>
  <sheetData>
    <row r="1" spans="1:11" ht="23.4" x14ac:dyDescent="0.45">
      <c r="A1" s="43"/>
      <c r="B1" s="43"/>
      <c r="C1" s="44" t="s">
        <v>5</v>
      </c>
      <c r="D1" s="43"/>
      <c r="E1" s="45"/>
      <c r="F1" s="43"/>
      <c r="G1" s="43"/>
      <c r="H1" s="43"/>
    </row>
    <row r="2" spans="1:11" x14ac:dyDescent="0.3">
      <c r="A2" s="43"/>
      <c r="B2" s="43"/>
      <c r="C2" s="43"/>
      <c r="D2" s="43"/>
      <c r="E2" s="45"/>
      <c r="F2" s="43"/>
      <c r="G2" s="43"/>
      <c r="H2" s="43"/>
    </row>
    <row r="3" spans="1:11" ht="15.6" x14ac:dyDescent="0.3">
      <c r="A3" s="43"/>
      <c r="B3" s="43"/>
      <c r="C3" s="46" t="s">
        <v>6</v>
      </c>
      <c r="D3" s="43"/>
      <c r="E3" s="45"/>
      <c r="F3" s="43"/>
      <c r="G3" s="43"/>
      <c r="H3" s="43"/>
    </row>
    <row r="4" spans="1:11" ht="15.6" x14ac:dyDescent="0.3">
      <c r="A4" s="46"/>
      <c r="B4" s="46"/>
      <c r="C4" s="46" t="s">
        <v>7</v>
      </c>
      <c r="D4" s="43"/>
      <c r="E4" s="45"/>
      <c r="F4" s="43"/>
      <c r="G4" s="43"/>
      <c r="H4" s="43"/>
    </row>
    <row r="5" spans="1:11" ht="15.6" x14ac:dyDescent="0.3">
      <c r="A5" s="46"/>
      <c r="B5" s="46"/>
      <c r="C5" s="43"/>
      <c r="D5" s="43"/>
      <c r="E5" s="45"/>
      <c r="F5" s="43"/>
      <c r="G5" s="43"/>
      <c r="H5" s="43"/>
    </row>
    <row r="6" spans="1:11" s="4" customFormat="1" ht="21" x14ac:dyDescent="0.4">
      <c r="A6" s="47" t="s">
        <v>8</v>
      </c>
      <c r="B6" s="47"/>
      <c r="C6" s="61" t="str">
        <f>'Print All Summary'!B6</f>
        <v>Avon Riding Centre</v>
      </c>
      <c r="D6" s="61"/>
      <c r="E6" s="48"/>
      <c r="F6" s="47" t="s">
        <v>9</v>
      </c>
      <c r="G6" s="60">
        <f>'Print All Summary'!F6</f>
        <v>46068</v>
      </c>
      <c r="H6" s="60"/>
      <c r="J6" s="15"/>
    </row>
    <row r="7" spans="1:11" s="4" customFormat="1" ht="21" x14ac:dyDescent="0.4">
      <c r="A7" s="47" t="s">
        <v>10</v>
      </c>
      <c r="B7" s="47"/>
      <c r="C7" s="61" t="str">
        <f>'Print All Summary'!B7</f>
        <v>Wessex TREC</v>
      </c>
      <c r="D7" s="61"/>
      <c r="E7" s="49"/>
      <c r="F7" s="47" t="s">
        <v>11</v>
      </c>
      <c r="G7" s="62">
        <f>MAlength</f>
        <v>75</v>
      </c>
      <c r="H7" s="62"/>
      <c r="I7" s="31"/>
      <c r="J7" s="15"/>
    </row>
    <row r="8" spans="1:11" hidden="1" x14ac:dyDescent="0.3">
      <c r="A8" s="43" t="str">
        <f>Open[[#Headers],[RIDER]]</f>
        <v>RIDER</v>
      </c>
      <c r="B8" s="43"/>
      <c r="C8" s="43" t="str">
        <f>Open[[#Headers],[TREC GB '#/ CLUB '#]]</f>
        <v>TREC GB #/ CLUB #</v>
      </c>
      <c r="D8" s="43" t="str">
        <f>LEFT(Open[[#Headers],[HORSE
(very important)]],5)</f>
        <v>HORSE</v>
      </c>
      <c r="E8" s="45" t="str">
        <f>Open[[#Headers],[POSITION]]</f>
        <v>POSITION</v>
      </c>
      <c r="F8" s="43" t="str">
        <f>Open[[#Headers],[GRAND TOTAL]]</f>
        <v>GRAND TOTAL</v>
      </c>
      <c r="G8" s="43" t="str">
        <f>Open[[#Headers],[MA TOTAL]]</f>
        <v>MA TOTAL</v>
      </c>
      <c r="H8" s="43" t="str">
        <f>Open[[#Headers],[PTV TOTAL]]</f>
        <v>PTV TOTAL</v>
      </c>
    </row>
    <row r="9" spans="1:11" hidden="1" x14ac:dyDescent="0.3">
      <c r="A9" s="43" t="str">
        <f>Open!C7&amp;" "&amp;Open!D7</f>
        <v>CLASS: Open</v>
      </c>
      <c r="B9" s="43"/>
      <c r="C9" s="50" t="s">
        <v>12</v>
      </c>
      <c r="D9" s="50" t="s">
        <v>12</v>
      </c>
      <c r="E9" s="51" t="s">
        <v>12</v>
      </c>
      <c r="F9" s="50" t="s">
        <v>12</v>
      </c>
      <c r="G9" s="50" t="s">
        <v>12</v>
      </c>
      <c r="H9" s="50" t="s">
        <v>12</v>
      </c>
      <c r="I9" s="40" t="str" cm="1">
        <f t="array" ref="I9">((IF(ISERROR(_xlfn._xlws.SORT(_xlfn._xlws.FILTER(_xlfn.CHOOSECOLS(Open[],3,5,4,6,7,8,9,10),_xlfn.CHOOSECOLS(Open[],5)="Y"),5,1))=TRUE,"No data")))</f>
        <v>No data</v>
      </c>
      <c r="K9" s="14" t="s">
        <v>13</v>
      </c>
    </row>
    <row r="10" spans="1:11" hidden="1" x14ac:dyDescent="0.3">
      <c r="A10" s="43" t="str">
        <f>'Open Int'!C7&amp;" "&amp;'Open Int'!D7</f>
        <v>CLASS: Open Intermediate</v>
      </c>
      <c r="B10" s="43"/>
      <c r="C10" s="50" t="s">
        <v>12</v>
      </c>
      <c r="D10" s="50" t="s">
        <v>12</v>
      </c>
      <c r="E10" s="51" t="s">
        <v>12</v>
      </c>
      <c r="F10" s="50" t="s">
        <v>12</v>
      </c>
      <c r="G10" s="50" t="s">
        <v>12</v>
      </c>
      <c r="H10" s="50" t="s">
        <v>12</v>
      </c>
      <c r="I10" s="40" t="str" cm="1">
        <f t="array" ref="I10">((IF(ISERROR(_xlfn._xlws.SORT(_xlfn._xlws.FILTER(_xlfn.CHOOSECOLS(OpenInt[],3,5,4,6,7,8,9,10),_xlfn.CHOOSECOLS(OpenInt[],5)="Y"),5,1))=TRUE,"No data")))</f>
        <v>No data</v>
      </c>
      <c r="K10" s="14" t="s">
        <v>13</v>
      </c>
    </row>
    <row r="11" spans="1:11" hidden="1" x14ac:dyDescent="0.3">
      <c r="A11" s="43" t="str">
        <f>Intermediate!C7&amp;" "&amp;Intermediate!D7</f>
        <v>CLASS: Intermediate</v>
      </c>
      <c r="B11" s="43"/>
      <c r="C11" s="50" t="s">
        <v>12</v>
      </c>
      <c r="D11" s="50" t="s">
        <v>12</v>
      </c>
      <c r="E11" s="51" t="s">
        <v>12</v>
      </c>
      <c r="F11" s="50" t="s">
        <v>12</v>
      </c>
      <c r="G11" s="50" t="s">
        <v>12</v>
      </c>
      <c r="H11" s="50" t="s">
        <v>12</v>
      </c>
      <c r="I11" s="40" t="str" cm="1">
        <f t="array" ref="I11">((IF(ISERROR(_xlfn._xlws.SORT(_xlfn._xlws.FILTER(_xlfn.CHOOSECOLS(Interm[],3,5,4,6,7,8,9,10),_xlfn.CHOOSECOLS(Interm[],5)="Y"),5,1))=TRUE,"No data")))</f>
        <v>No data</v>
      </c>
      <c r="K11" s="14" t="s">
        <v>13</v>
      </c>
    </row>
    <row r="12" spans="1:11" hidden="1" x14ac:dyDescent="0.3">
      <c r="A12" s="43" t="str">
        <f>Novice!C7&amp;" "&amp;Novice!D7</f>
        <v>CLASS: Novice Horse</v>
      </c>
      <c r="B12" s="43"/>
      <c r="C12" s="50" t="s">
        <v>12</v>
      </c>
      <c r="D12" s="50" t="s">
        <v>12</v>
      </c>
      <c r="E12" s="51" t="s">
        <v>12</v>
      </c>
      <c r="F12" s="50" t="s">
        <v>12</v>
      </c>
      <c r="G12" s="50" t="s">
        <v>12</v>
      </c>
      <c r="H12" s="50" t="s">
        <v>12</v>
      </c>
      <c r="I12" s="40" t="str" cm="1">
        <f t="array" ref="I12">((IF(ISERROR(_xlfn._xlws.SORT(_xlfn._xlws.FILTER(_xlfn.CHOOSECOLS(Novice[],3,5,4,6,7,8,9,10),_xlfn.CHOOSECOLS(Novice[],5)="Y"),5,1))=TRUE,"No data")))</f>
        <v>No data</v>
      </c>
      <c r="K12" s="14" t="s">
        <v>13</v>
      </c>
    </row>
    <row r="13" spans="1:11" hidden="1" x14ac:dyDescent="0.3">
      <c r="A13" s="43" t="str">
        <f>Newcomers!C7&amp;" "&amp;Newcomers!D7</f>
        <v>CLASS: Newcomers</v>
      </c>
      <c r="B13" s="43"/>
      <c r="C13" s="50" t="s">
        <v>12</v>
      </c>
      <c r="D13" s="50" t="s">
        <v>12</v>
      </c>
      <c r="E13" s="51" t="s">
        <v>12</v>
      </c>
      <c r="F13" s="50" t="s">
        <v>12</v>
      </c>
      <c r="G13" s="50" t="s">
        <v>12</v>
      </c>
      <c r="H13" s="50" t="s">
        <v>12</v>
      </c>
      <c r="I13" s="40" t="str" cm="1">
        <f t="array" ref="I13">((IF(ISERROR(_xlfn._xlws.SORT(_xlfn._xlws.FILTER(_xlfn.CHOOSECOLS(Newc[],3,5,4,6,7,8,9,10),_xlfn.CHOOSECOLS(Newc[],5)="Y"),5,1))=TRUE,"No data")))</f>
        <v>No data</v>
      </c>
      <c r="K13" s="14" t="s">
        <v>13</v>
      </c>
    </row>
    <row r="14" spans="1:11" hidden="1" x14ac:dyDescent="0.3">
      <c r="A14" s="43" t="str">
        <f>Inhand!C7&amp;" "&amp;Inhand!D7</f>
        <v>CLASS: In Hand</v>
      </c>
      <c r="B14" s="43"/>
      <c r="C14" s="50" t="s">
        <v>12</v>
      </c>
      <c r="D14" s="50" t="s">
        <v>12</v>
      </c>
      <c r="E14" s="51" t="s">
        <v>12</v>
      </c>
      <c r="F14" s="50" t="s">
        <v>12</v>
      </c>
      <c r="G14" s="50" t="s">
        <v>12</v>
      </c>
      <c r="H14" s="50" t="s">
        <v>12</v>
      </c>
      <c r="I14" s="40" t="str" cm="1">
        <f t="array" ref="I14">((IF(ISERROR(_xlfn._xlws.SORT(_xlfn._xlws.FILTER(_xlfn.CHOOSECOLS(Table6[],3,5,4,6,7,8,9,10),_xlfn.CHOOSECOLS(Table6[],5)="Y"),5,1))=TRUE,"No data")))</f>
        <v>No data</v>
      </c>
      <c r="K14" s="14" t="s">
        <v>13</v>
      </c>
    </row>
    <row r="15" spans="1:11" hidden="1" x14ac:dyDescent="0.3">
      <c r="A15" s="43" t="str">
        <f>Starter!C7&amp;" "&amp;Starter!D7</f>
        <v>CLASS: Starters</v>
      </c>
      <c r="B15" s="43"/>
      <c r="C15" s="50" t="s">
        <v>12</v>
      </c>
      <c r="D15" s="50" t="s">
        <v>12</v>
      </c>
      <c r="E15" s="51" t="s">
        <v>12</v>
      </c>
      <c r="F15" s="50" t="s">
        <v>12</v>
      </c>
      <c r="G15" s="50" t="s">
        <v>12</v>
      </c>
      <c r="H15" s="50" t="s">
        <v>12</v>
      </c>
      <c r="I15" s="40" t="str" cm="1">
        <f t="array" ref="I15">((IF(ISERROR(_xlfn._xlws.SORT(_xlfn._xlws.FILTER(_xlfn.CHOOSECOLS(Table7[],3,5,4,6,7,8,9,10),_xlfn.CHOOSECOLS(Table7[],5)="Y"),5,1))=TRUE,"No data")))</f>
        <v>No data</v>
      </c>
      <c r="K15" s="14" t="s">
        <v>13</v>
      </c>
    </row>
    <row r="16" spans="1:11" hidden="1" x14ac:dyDescent="0.3">
      <c r="A16" s="43" t="str">
        <f>'Class 8'!C7&amp;" "&amp;'Class 8'!D7</f>
        <v>CLASS: Class 8</v>
      </c>
      <c r="B16" s="43"/>
      <c r="C16" s="50" t="s">
        <v>12</v>
      </c>
      <c r="D16" s="50" t="s">
        <v>12</v>
      </c>
      <c r="E16" s="51" t="s">
        <v>12</v>
      </c>
      <c r="F16" s="50" t="s">
        <v>12</v>
      </c>
      <c r="G16" s="50" t="s">
        <v>12</v>
      </c>
      <c r="H16" s="50" t="s">
        <v>12</v>
      </c>
      <c r="I16" s="40" t="str" cm="1">
        <f t="array" ref="I16">((IF(ISERROR(_xlfn._xlws.SORT(_xlfn._xlws.FILTER(_xlfn.CHOOSECOLS(Table8[],3,5,4,6,7,8,9,10),_xlfn.CHOOSECOLS(Table8[],5)="Y"),5,1))=TRUE,"No data")))</f>
        <v>No data</v>
      </c>
      <c r="K16" s="14" t="s">
        <v>13</v>
      </c>
    </row>
    <row r="17" spans="1:11" hidden="1" x14ac:dyDescent="0.3">
      <c r="A17" s="43" t="str">
        <f>'Class 9'!C7&amp;" "&amp;'Class 9'!D7</f>
        <v>CLASS: Class 9</v>
      </c>
      <c r="B17" s="43"/>
      <c r="C17" s="50" t="s">
        <v>12</v>
      </c>
      <c r="D17" s="50" t="s">
        <v>12</v>
      </c>
      <c r="E17" s="51" t="s">
        <v>12</v>
      </c>
      <c r="F17" s="50" t="s">
        <v>12</v>
      </c>
      <c r="G17" s="50" t="s">
        <v>12</v>
      </c>
      <c r="H17" s="50" t="s">
        <v>12</v>
      </c>
      <c r="I17" s="40" t="str" cm="1">
        <f t="array" ref="I17">((IF(ISERROR(_xlfn._xlws.SORT(_xlfn._xlws.FILTER(_xlfn.CHOOSECOLS(Table9[],3,5,4,6,7,8,9,10),_xlfn.CHOOSECOLS(Table9[],5)="Y"),5,1))=TRUE,"No data")))</f>
        <v>No data</v>
      </c>
      <c r="K17" s="14" t="s">
        <v>13</v>
      </c>
    </row>
    <row r="18" spans="1:11" hidden="1" x14ac:dyDescent="0.3">
      <c r="A18" s="43" t="str">
        <f>'Class 10'!C7&amp;" "&amp;'Class 10'!D7</f>
        <v>CLASS: Class 10</v>
      </c>
      <c r="B18" s="43"/>
      <c r="C18" s="50" t="s">
        <v>12</v>
      </c>
      <c r="D18" s="50" t="s">
        <v>12</v>
      </c>
      <c r="E18" s="51" t="s">
        <v>12</v>
      </c>
      <c r="F18" s="50" t="s">
        <v>12</v>
      </c>
      <c r="G18" s="50" t="s">
        <v>12</v>
      </c>
      <c r="H18" s="50" t="s">
        <v>12</v>
      </c>
      <c r="I18" s="40" t="str" cm="1">
        <f t="array" ref="I18">((IF(ISERROR(_xlfn._xlws.SORT(_xlfn._xlws.FILTER(_xlfn.CHOOSECOLS(Table10[],3,5,4,6,7,8,9,10),_xlfn.CHOOSECOLS(Table10[],5)="Y"),5,1))=TRUE,"No data")))</f>
        <v>No data</v>
      </c>
      <c r="K18" s="14" t="s">
        <v>13</v>
      </c>
    </row>
    <row r="19" spans="1:11" hidden="1" x14ac:dyDescent="0.3">
      <c r="A19" s="50">
        <v>0</v>
      </c>
      <c r="B19" s="50"/>
      <c r="C19" s="50" t="s">
        <v>12</v>
      </c>
      <c r="D19" s="50" t="s">
        <v>12</v>
      </c>
      <c r="E19" s="51" t="s">
        <v>12</v>
      </c>
      <c r="F19" s="50" t="s">
        <v>12</v>
      </c>
      <c r="G19" s="50" t="s">
        <v>12</v>
      </c>
      <c r="H19" s="50" t="s">
        <v>12</v>
      </c>
      <c r="I19" s="40"/>
      <c r="K19" s="14" t="s">
        <v>13</v>
      </c>
    </row>
    <row r="20" spans="1:11" x14ac:dyDescent="0.3">
      <c r="A20" s="43"/>
      <c r="B20" s="43"/>
      <c r="C20" s="43"/>
      <c r="D20" s="43"/>
      <c r="E20" s="45"/>
      <c r="F20" s="43"/>
      <c r="G20" s="43"/>
      <c r="H20" s="43"/>
    </row>
    <row r="21" spans="1:11" ht="17.399999999999999" x14ac:dyDescent="0.35">
      <c r="A21" s="36" cm="1">
        <f t="array" ref="A21:H40">_xlfn.VSTACK(IF(ISERROR(I9)=FALSE,Blank,_xlfn.VSTACK('Junior Summary'!Class1,Headers)),IFERROR(_xlfn._xlws.SORT(_xlfn._xlws.FILTER(_xlfn.CHOOSECOLS(Open[],3,5,4,6,7,8,9,10),_xlfn.CHOOSECOLS(Open[],5)="Y"),5,1),'Junior Summary'!Blank),
IF(ISERROR(I10)=FALSE,Blank,_xlfn.VSTACK(Blank,'Junior Summary'!Class2,Headers)),IFERROR(_xlfn._xlws.SORT(_xlfn._xlws.FILTER(_xlfn.CHOOSECOLS(OpenInt[],3,5,4,6,7,8,9,10),_xlfn.CHOOSECOLS(OpenInt[],5)="Y"),5,1),'Junior Summary'!Blank),
IF(ISERROR(I11)=FALSE,Blank,_xlfn.VSTACK(Blank,'Junior Summary'!Class3,Headers)),IFERROR(_xlfn._xlws.SORT(_xlfn._xlws.FILTER(_xlfn.CHOOSECOLS(Interm[],3,5,4,6,7,8,9,10),_xlfn.CHOOSECOLS(Interm[],5)="Y"),5,1),'Junior Summary'!Blank),
IF(ISERROR(I12)=FALSE,Blank,_xlfn.VSTACK(Blank,'Junior Summary'!Class4,Headers)),IFERROR(_xlfn._xlws.SORT(_xlfn._xlws.FILTER(_xlfn.CHOOSECOLS(Novice[],3,5,4,6,7,8,9,10),_xlfn.CHOOSECOLS(Novice[],5)="Y"),5,1),'Junior Summary'!Blank),
IF(ISERROR(I13)=FALSE,Blank,_xlfn.VSTACK(Blank,'Junior Summary'!Class5,Headers)),IFERROR(_xlfn._xlws.SORT(_xlfn._xlws.FILTER(_xlfn.CHOOSECOLS(Newc[],3,5,4,6,7,8,9,10),_xlfn.CHOOSECOLS(Newc[],5)="Y"),5,1),'Junior Summary'!Blank),
IF(ISERROR(I14)=FALSE,Blank,_xlfn.VSTACK(Blank,'Junior Summary'!Class6,Headers)),IFERROR(_xlfn._xlws.SORT(_xlfn._xlws.FILTER(_xlfn.CHOOSECOLS(Table6[],3,5,4,6,7,8,9,10),_xlfn.CHOOSECOLS(Table6[],5)="Y"),5,1),'Junior Summary'!Blank),
IF(ISERROR(I15)=FALSE,Blank,_xlfn.VSTACK(Blank,'Junior Summary'!Class7,Headers)),IFERROR(_xlfn._xlws.SORT(_xlfn._xlws.FILTER(_xlfn.CHOOSECOLS(Table7[],3,5,4,6,7,8,9,10),_xlfn.CHOOSECOLS(Table7[],5)="Y"),5,1),'Junior Summary'!Blank),
IF(ISERROR(I16)=FALSE,Blank,_xlfn.VSTACK(Blank,'Junior Summary'!Class8,Headers)),IFERROR(_xlfn._xlws.SORT(_xlfn._xlws.FILTER(_xlfn.CHOOSECOLS(Table8[],3,5,4,6,7,8,9,10),_xlfn.CHOOSECOLS(Table8[],5)="Y"),5,1),'Junior Summary'!Blank),
IF(ISERROR(I17)=FALSE,Blank,_xlfn.VSTACK(Blank,'Junior Summary'!Class9,Headers)),IFERROR(_xlfn._xlws.SORT(_xlfn._xlws.FILTER(_xlfn.CHOOSECOLS(Table9[],3,5,4,6,7,8,9,10),_xlfn.CHOOSECOLS(Table9[],5)="Y"),5,1),'Junior Summary'!Blank),
IF(ISERROR(I18)=FALSE,Blank,_xlfn.VSTACK(Blank,'Junior Summary'!Class10,Headers)),IFERROR(_xlfn._xlws.SORT(_xlfn._xlws.FILTER(_xlfn.CHOOSECOLS(Table10[],3,5,4,6,7,8,9,10),_xlfn.CHOOSECOLS(Table10[],5)="Y"),5,1),'Junior Summary'!Blank))</f>
        <v>0</v>
      </c>
      <c r="B21" s="36">
        <v>0</v>
      </c>
      <c r="C21" s="37" t="str">
        <v/>
      </c>
      <c r="D21" s="38" t="str">
        <v/>
      </c>
      <c r="E21" s="37" t="str">
        <v/>
      </c>
      <c r="F21" s="37" t="str">
        <v/>
      </c>
      <c r="G21" s="37" t="str">
        <v/>
      </c>
      <c r="H21" s="37" t="str">
        <v/>
      </c>
    </row>
    <row r="22" spans="1:11" ht="17.399999999999999" x14ac:dyDescent="0.35">
      <c r="A22" s="36">
        <v>0</v>
      </c>
      <c r="B22" s="36">
        <v>0</v>
      </c>
      <c r="C22" s="37" t="str">
        <v/>
      </c>
      <c r="D22" s="38" t="str">
        <v/>
      </c>
      <c r="E22" s="37" t="str">
        <v/>
      </c>
      <c r="F22" s="37" t="str">
        <v/>
      </c>
      <c r="G22" s="37" t="str">
        <v/>
      </c>
      <c r="H22" s="37" t="str">
        <v/>
      </c>
    </row>
    <row r="23" spans="1:11" ht="17.399999999999999" x14ac:dyDescent="0.35">
      <c r="A23" s="36">
        <v>0</v>
      </c>
      <c r="B23" s="36">
        <v>0</v>
      </c>
      <c r="C23" s="37" t="str">
        <v/>
      </c>
      <c r="D23" s="38" t="str">
        <v/>
      </c>
      <c r="E23" s="37" t="str">
        <v/>
      </c>
      <c r="F23" s="41" t="str">
        <v/>
      </c>
      <c r="G23" s="41" t="str">
        <v/>
      </c>
      <c r="H23" s="41" t="str">
        <v/>
      </c>
    </row>
    <row r="24" spans="1:11" ht="17.399999999999999" x14ac:dyDescent="0.35">
      <c r="A24" s="36">
        <v>0</v>
      </c>
      <c r="B24" s="36">
        <v>0</v>
      </c>
      <c r="C24" s="37" t="str">
        <v/>
      </c>
      <c r="D24" s="38" t="str">
        <v/>
      </c>
      <c r="E24" s="37" t="str">
        <v/>
      </c>
      <c r="F24" s="41" t="str">
        <v/>
      </c>
      <c r="G24" s="41" t="str">
        <v/>
      </c>
      <c r="H24" s="41" t="str">
        <v/>
      </c>
    </row>
    <row r="25" spans="1:11" ht="17.399999999999999" x14ac:dyDescent="0.35">
      <c r="A25" s="36">
        <v>0</v>
      </c>
      <c r="B25" s="36">
        <v>0</v>
      </c>
      <c r="C25" s="37" t="str">
        <v/>
      </c>
      <c r="D25" s="38" t="str">
        <v/>
      </c>
      <c r="E25" s="37" t="str">
        <v/>
      </c>
      <c r="F25" s="41" t="str">
        <v/>
      </c>
      <c r="G25" s="41" t="str">
        <v/>
      </c>
      <c r="H25" s="41" t="str">
        <v/>
      </c>
    </row>
    <row r="26" spans="1:11" ht="17.399999999999999" x14ac:dyDescent="0.35">
      <c r="A26" s="36">
        <v>0</v>
      </c>
      <c r="B26" s="36">
        <v>0</v>
      </c>
      <c r="C26" s="37" t="str">
        <v/>
      </c>
      <c r="D26" s="38" t="str">
        <v/>
      </c>
      <c r="E26" s="37" t="str">
        <v/>
      </c>
      <c r="F26" s="41" t="str">
        <v/>
      </c>
      <c r="G26" s="41" t="str">
        <v/>
      </c>
      <c r="H26" s="41" t="str">
        <v/>
      </c>
    </row>
    <row r="27" spans="1:11" ht="17.399999999999999" x14ac:dyDescent="0.35">
      <c r="A27" s="36">
        <v>0</v>
      </c>
      <c r="B27" s="36">
        <v>0</v>
      </c>
      <c r="C27" s="37" t="str">
        <v/>
      </c>
      <c r="D27" s="38" t="str">
        <v/>
      </c>
      <c r="E27" s="37" t="str">
        <v/>
      </c>
      <c r="F27" s="41" t="str">
        <v/>
      </c>
      <c r="G27" s="41" t="str">
        <v/>
      </c>
      <c r="H27" s="41" t="str">
        <v/>
      </c>
    </row>
    <row r="28" spans="1:11" ht="17.399999999999999" x14ac:dyDescent="0.35">
      <c r="A28" s="36">
        <v>0</v>
      </c>
      <c r="B28" s="36">
        <v>0</v>
      </c>
      <c r="C28" s="37" t="str">
        <v/>
      </c>
      <c r="D28" s="38" t="str">
        <v/>
      </c>
      <c r="E28" s="37" t="str">
        <v/>
      </c>
      <c r="F28" s="41" t="str">
        <v/>
      </c>
      <c r="G28" s="41" t="str">
        <v/>
      </c>
      <c r="H28" s="41" t="str">
        <v/>
      </c>
    </row>
    <row r="29" spans="1:11" ht="17.399999999999999" x14ac:dyDescent="0.35">
      <c r="A29" s="36">
        <v>0</v>
      </c>
      <c r="B29" s="36">
        <v>0</v>
      </c>
      <c r="C29" s="37" t="str">
        <v/>
      </c>
      <c r="D29" s="38" t="str">
        <v/>
      </c>
      <c r="E29" s="37" t="str">
        <v/>
      </c>
      <c r="F29" s="41" t="str">
        <v/>
      </c>
      <c r="G29" s="41" t="str">
        <v/>
      </c>
      <c r="H29" s="41" t="str">
        <v/>
      </c>
    </row>
    <row r="30" spans="1:11" ht="17.399999999999999" x14ac:dyDescent="0.35">
      <c r="A30" s="36">
        <v>0</v>
      </c>
      <c r="B30" s="36">
        <v>0</v>
      </c>
      <c r="C30" s="37" t="str">
        <v/>
      </c>
      <c r="D30" s="38" t="str">
        <v/>
      </c>
      <c r="E30" s="37" t="str">
        <v/>
      </c>
      <c r="F30" s="41" t="str">
        <v/>
      </c>
      <c r="G30" s="41" t="str">
        <v/>
      </c>
      <c r="H30" s="41" t="str">
        <v/>
      </c>
    </row>
    <row r="31" spans="1:11" ht="17.399999999999999" x14ac:dyDescent="0.35">
      <c r="A31" s="36">
        <v>0</v>
      </c>
      <c r="B31" s="36">
        <v>0</v>
      </c>
      <c r="C31" s="37" t="str">
        <v/>
      </c>
      <c r="D31" s="38" t="str">
        <v/>
      </c>
      <c r="E31" s="37" t="str">
        <v/>
      </c>
      <c r="F31" s="41" t="str">
        <v/>
      </c>
      <c r="G31" s="41" t="str">
        <v/>
      </c>
      <c r="H31" s="41" t="str">
        <v/>
      </c>
    </row>
    <row r="32" spans="1:11" ht="17.399999999999999" x14ac:dyDescent="0.35">
      <c r="A32" s="36">
        <v>0</v>
      </c>
      <c r="B32" s="36">
        <v>0</v>
      </c>
      <c r="C32" s="37" t="str">
        <v/>
      </c>
      <c r="D32" s="38" t="str">
        <v/>
      </c>
      <c r="E32" s="37" t="str">
        <v/>
      </c>
      <c r="F32" s="41" t="str">
        <v/>
      </c>
      <c r="G32" s="41" t="str">
        <v/>
      </c>
      <c r="H32" s="41" t="str">
        <v/>
      </c>
    </row>
    <row r="33" spans="1:8" ht="17.399999999999999" x14ac:dyDescent="0.35">
      <c r="A33" s="36">
        <v>0</v>
      </c>
      <c r="B33" s="36">
        <v>0</v>
      </c>
      <c r="C33" s="37" t="str">
        <v/>
      </c>
      <c r="D33" s="38" t="str">
        <v/>
      </c>
      <c r="E33" s="37" t="str">
        <v/>
      </c>
      <c r="F33" s="41" t="str">
        <v/>
      </c>
      <c r="G33" s="41" t="str">
        <v/>
      </c>
      <c r="H33" s="41" t="str">
        <v/>
      </c>
    </row>
    <row r="34" spans="1:8" ht="17.399999999999999" x14ac:dyDescent="0.35">
      <c r="A34" s="36">
        <v>0</v>
      </c>
      <c r="B34" s="36">
        <v>0</v>
      </c>
      <c r="C34" s="37" t="str">
        <v/>
      </c>
      <c r="D34" s="38" t="str">
        <v/>
      </c>
      <c r="E34" s="37" t="str">
        <v/>
      </c>
      <c r="F34" s="41" t="str">
        <v/>
      </c>
      <c r="G34" s="41" t="str">
        <v/>
      </c>
      <c r="H34" s="41" t="str">
        <v/>
      </c>
    </row>
    <row r="35" spans="1:8" ht="17.399999999999999" x14ac:dyDescent="0.35">
      <c r="A35" s="36">
        <v>0</v>
      </c>
      <c r="B35" s="36">
        <v>0</v>
      </c>
      <c r="C35" s="37" t="str">
        <v/>
      </c>
      <c r="D35" s="38" t="str">
        <v/>
      </c>
      <c r="E35" s="37" t="str">
        <v/>
      </c>
      <c r="F35" s="41" t="str">
        <v/>
      </c>
      <c r="G35" s="41" t="str">
        <v/>
      </c>
      <c r="H35" s="41" t="str">
        <v/>
      </c>
    </row>
    <row r="36" spans="1:8" ht="17.399999999999999" x14ac:dyDescent="0.35">
      <c r="A36" s="36">
        <v>0</v>
      </c>
      <c r="B36" s="36">
        <v>0</v>
      </c>
      <c r="C36" s="37" t="str">
        <v/>
      </c>
      <c r="D36" s="38" t="str">
        <v/>
      </c>
      <c r="E36" s="37" t="str">
        <v/>
      </c>
      <c r="F36" s="41" t="str">
        <v/>
      </c>
      <c r="G36" s="41" t="str">
        <v/>
      </c>
      <c r="H36" s="41" t="str">
        <v/>
      </c>
    </row>
    <row r="37" spans="1:8" ht="17.399999999999999" x14ac:dyDescent="0.35">
      <c r="A37" s="36">
        <v>0</v>
      </c>
      <c r="B37" s="36">
        <v>0</v>
      </c>
      <c r="C37" s="37" t="str">
        <v/>
      </c>
      <c r="D37" s="38" t="str">
        <v/>
      </c>
      <c r="E37" s="37" t="str">
        <v/>
      </c>
      <c r="F37" s="41" t="str">
        <v/>
      </c>
      <c r="G37" s="41" t="str">
        <v/>
      </c>
      <c r="H37" s="41" t="str">
        <v/>
      </c>
    </row>
    <row r="38" spans="1:8" ht="17.399999999999999" x14ac:dyDescent="0.35">
      <c r="A38" s="36">
        <v>0</v>
      </c>
      <c r="B38" s="36">
        <v>0</v>
      </c>
      <c r="C38" s="37" t="str">
        <v/>
      </c>
      <c r="D38" s="38" t="str">
        <v/>
      </c>
      <c r="E38" s="37" t="str">
        <v/>
      </c>
      <c r="F38" s="41" t="str">
        <v/>
      </c>
      <c r="G38" s="41" t="str">
        <v/>
      </c>
      <c r="H38" s="41" t="str">
        <v/>
      </c>
    </row>
    <row r="39" spans="1:8" ht="17.399999999999999" x14ac:dyDescent="0.35">
      <c r="A39" s="36">
        <v>0</v>
      </c>
      <c r="B39" s="36">
        <v>0</v>
      </c>
      <c r="C39" s="37" t="str">
        <v/>
      </c>
      <c r="D39" s="38" t="str">
        <v/>
      </c>
      <c r="E39" s="37" t="str">
        <v/>
      </c>
      <c r="F39" s="41" t="str">
        <v/>
      </c>
      <c r="G39" s="41" t="str">
        <v/>
      </c>
      <c r="H39" s="41" t="str">
        <v/>
      </c>
    </row>
    <row r="40" spans="1:8" ht="17.399999999999999" x14ac:dyDescent="0.35">
      <c r="A40" s="36">
        <v>0</v>
      </c>
      <c r="B40" s="36">
        <v>0</v>
      </c>
      <c r="C40" s="37" t="str">
        <v/>
      </c>
      <c r="D40" s="38" t="str">
        <v/>
      </c>
      <c r="E40" s="37" t="str">
        <v/>
      </c>
      <c r="F40" s="41" t="str">
        <v/>
      </c>
      <c r="G40" s="41" t="str">
        <v/>
      </c>
      <c r="H40" s="41" t="str">
        <v/>
      </c>
    </row>
    <row r="41" spans="1:8" ht="17.399999999999999" x14ac:dyDescent="0.35">
      <c r="A41" s="36"/>
      <c r="B41" s="36"/>
      <c r="C41" s="37"/>
      <c r="D41" s="38"/>
      <c r="E41" s="37"/>
      <c r="F41" s="41"/>
      <c r="G41" s="41"/>
      <c r="H41" s="41"/>
    </row>
    <row r="42" spans="1:8" ht="17.399999999999999" x14ac:dyDescent="0.35">
      <c r="A42" s="36"/>
      <c r="B42" s="36"/>
      <c r="C42" s="37"/>
      <c r="D42" s="38"/>
      <c r="E42" s="37"/>
      <c r="F42" s="41"/>
      <c r="G42" s="41"/>
      <c r="H42" s="41"/>
    </row>
    <row r="43" spans="1:8" ht="17.399999999999999" x14ac:dyDescent="0.35">
      <c r="A43" s="36"/>
      <c r="B43" s="36"/>
      <c r="C43" s="37"/>
      <c r="D43" s="38"/>
      <c r="E43" s="37"/>
      <c r="F43" s="41"/>
      <c r="G43" s="41"/>
      <c r="H43" s="41"/>
    </row>
    <row r="44" spans="1:8" ht="17.399999999999999" x14ac:dyDescent="0.35">
      <c r="A44" s="36"/>
      <c r="B44" s="36"/>
      <c r="C44" s="37"/>
      <c r="D44" s="38"/>
      <c r="E44" s="37"/>
      <c r="F44" s="41"/>
      <c r="G44" s="41"/>
      <c r="H44" s="41"/>
    </row>
    <row r="45" spans="1:8" ht="17.399999999999999" x14ac:dyDescent="0.35">
      <c r="A45" s="36"/>
      <c r="B45" s="36"/>
      <c r="C45" s="37"/>
      <c r="D45" s="38"/>
      <c r="E45" s="37"/>
      <c r="F45" s="41"/>
      <c r="G45" s="41"/>
      <c r="H45" s="41"/>
    </row>
    <row r="46" spans="1:8" ht="17.399999999999999" x14ac:dyDescent="0.35">
      <c r="A46" s="36"/>
      <c r="B46" s="36"/>
      <c r="C46" s="37"/>
      <c r="D46" s="38"/>
      <c r="E46" s="37"/>
      <c r="F46" s="41"/>
      <c r="G46" s="41"/>
      <c r="H46" s="41"/>
    </row>
    <row r="47" spans="1:8" ht="17.399999999999999" x14ac:dyDescent="0.35">
      <c r="A47" s="36"/>
      <c r="B47" s="36"/>
      <c r="C47" s="37"/>
      <c r="D47" s="38"/>
      <c r="E47" s="37"/>
      <c r="F47" s="41"/>
      <c r="G47" s="41"/>
      <c r="H47" s="41"/>
    </row>
    <row r="48" spans="1:8" ht="17.399999999999999" x14ac:dyDescent="0.35">
      <c r="A48" s="36"/>
      <c r="B48" s="36"/>
      <c r="C48" s="37"/>
      <c r="D48" s="38"/>
      <c r="E48" s="37"/>
      <c r="F48" s="41"/>
      <c r="G48" s="41"/>
      <c r="H48" s="41"/>
    </row>
    <row r="49" spans="1:8" ht="17.399999999999999" x14ac:dyDescent="0.35">
      <c r="A49" s="36"/>
      <c r="B49" s="36"/>
      <c r="C49" s="37"/>
      <c r="D49" s="38"/>
      <c r="E49" s="37"/>
      <c r="F49" s="41"/>
      <c r="G49" s="41"/>
      <c r="H49" s="41"/>
    </row>
    <row r="50" spans="1:8" ht="17.399999999999999" x14ac:dyDescent="0.35">
      <c r="A50" s="36"/>
      <c r="B50" s="36"/>
      <c r="C50" s="37"/>
      <c r="D50" s="38"/>
      <c r="E50" s="37"/>
      <c r="F50" s="41"/>
      <c r="G50" s="41"/>
      <c r="H50" s="41"/>
    </row>
    <row r="51" spans="1:8" ht="17.399999999999999" x14ac:dyDescent="0.35">
      <c r="A51" s="36"/>
      <c r="B51" s="36"/>
      <c r="C51" s="37"/>
      <c r="D51" s="38"/>
      <c r="E51" s="37"/>
      <c r="F51" s="41"/>
      <c r="G51" s="41"/>
      <c r="H51" s="41"/>
    </row>
    <row r="52" spans="1:8" ht="17.399999999999999" x14ac:dyDescent="0.35">
      <c r="A52" s="36"/>
      <c r="B52" s="36"/>
      <c r="C52" s="37"/>
      <c r="D52" s="38"/>
      <c r="E52" s="37"/>
      <c r="F52" s="41"/>
      <c r="G52" s="41"/>
      <c r="H52" s="41"/>
    </row>
    <row r="53" spans="1:8" ht="17.399999999999999" x14ac:dyDescent="0.35">
      <c r="A53" s="36"/>
      <c r="B53" s="36"/>
      <c r="C53" s="37"/>
      <c r="D53" s="38"/>
      <c r="E53" s="37"/>
      <c r="F53" s="41"/>
      <c r="G53" s="41"/>
      <c r="H53" s="41"/>
    </row>
    <row r="54" spans="1:8" ht="17.399999999999999" x14ac:dyDescent="0.35">
      <c r="A54" s="36"/>
      <c r="B54" s="36"/>
      <c r="C54" s="37"/>
      <c r="D54" s="38"/>
      <c r="E54" s="37"/>
      <c r="F54" s="41"/>
      <c r="G54" s="41"/>
      <c r="H54" s="41"/>
    </row>
    <row r="55" spans="1:8" ht="17.399999999999999" x14ac:dyDescent="0.35">
      <c r="A55" s="36"/>
      <c r="B55" s="36"/>
      <c r="C55" s="37"/>
      <c r="D55" s="38"/>
      <c r="E55" s="37"/>
      <c r="F55" s="41"/>
      <c r="G55" s="41"/>
      <c r="H55" s="41"/>
    </row>
    <row r="56" spans="1:8" ht="17.399999999999999" x14ac:dyDescent="0.35">
      <c r="A56" s="36"/>
      <c r="B56" s="36"/>
      <c r="C56" s="37"/>
      <c r="D56" s="38"/>
      <c r="E56" s="37"/>
      <c r="F56" s="41"/>
      <c r="G56" s="41"/>
      <c r="H56" s="41"/>
    </row>
    <row r="57" spans="1:8" ht="17.399999999999999" x14ac:dyDescent="0.35">
      <c r="A57" s="36"/>
      <c r="B57" s="36"/>
      <c r="C57" s="37"/>
      <c r="D57" s="38"/>
      <c r="E57" s="37"/>
      <c r="F57" s="41"/>
      <c r="G57" s="41"/>
      <c r="H57" s="41"/>
    </row>
    <row r="58" spans="1:8" ht="17.399999999999999" x14ac:dyDescent="0.35">
      <c r="A58" s="36"/>
      <c r="B58" s="36"/>
      <c r="C58" s="37"/>
      <c r="D58" s="38"/>
      <c r="E58" s="37"/>
      <c r="F58" s="41"/>
      <c r="G58" s="41"/>
      <c r="H58" s="41"/>
    </row>
    <row r="59" spans="1:8" ht="17.399999999999999" x14ac:dyDescent="0.35">
      <c r="A59" s="36"/>
      <c r="B59" s="36"/>
      <c r="C59" s="37"/>
      <c r="D59" s="38"/>
      <c r="E59" s="37"/>
      <c r="F59" s="41"/>
      <c r="G59" s="41"/>
      <c r="H59" s="41"/>
    </row>
    <row r="60" spans="1:8" ht="17.399999999999999" x14ac:dyDescent="0.35">
      <c r="A60" s="36"/>
      <c r="B60" s="36"/>
      <c r="C60" s="37"/>
      <c r="D60" s="38"/>
      <c r="E60" s="37"/>
      <c r="F60" s="41"/>
      <c r="G60" s="41"/>
      <c r="H60" s="41"/>
    </row>
    <row r="61" spans="1:8" ht="17.399999999999999" x14ac:dyDescent="0.35">
      <c r="A61" s="36"/>
      <c r="B61" s="36"/>
      <c r="C61" s="37"/>
      <c r="D61" s="38"/>
      <c r="E61" s="37"/>
      <c r="F61" s="41"/>
      <c r="G61" s="41"/>
      <c r="H61" s="41"/>
    </row>
    <row r="62" spans="1:8" ht="17.399999999999999" x14ac:dyDescent="0.35">
      <c r="A62" s="36"/>
      <c r="B62" s="36"/>
      <c r="C62" s="37"/>
      <c r="D62" s="38"/>
      <c r="E62" s="37"/>
      <c r="F62" s="41"/>
      <c r="G62" s="41"/>
      <c r="H62" s="41"/>
    </row>
    <row r="63" spans="1:8" ht="17.399999999999999" x14ac:dyDescent="0.35">
      <c r="A63" s="36"/>
      <c r="B63" s="36"/>
      <c r="C63" s="37"/>
      <c r="D63" s="38"/>
      <c r="E63" s="37"/>
      <c r="F63" s="41"/>
      <c r="G63" s="41"/>
      <c r="H63" s="41"/>
    </row>
    <row r="64" spans="1:8" ht="17.399999999999999" x14ac:dyDescent="0.35">
      <c r="A64" s="36"/>
      <c r="B64" s="36"/>
      <c r="C64" s="37"/>
      <c r="D64" s="38"/>
      <c r="E64" s="37"/>
      <c r="F64" s="41"/>
      <c r="G64" s="41"/>
      <c r="H64" s="41"/>
    </row>
    <row r="65" spans="1:8" ht="17.399999999999999" x14ac:dyDescent="0.35">
      <c r="A65" s="36"/>
      <c r="B65" s="36"/>
      <c r="C65" s="37"/>
      <c r="D65" s="38"/>
      <c r="E65" s="37"/>
      <c r="F65" s="41"/>
      <c r="G65" s="41"/>
      <c r="H65" s="41"/>
    </row>
    <row r="66" spans="1:8" ht="17.399999999999999" x14ac:dyDescent="0.35">
      <c r="A66" s="36"/>
      <c r="B66" s="36"/>
      <c r="C66" s="37"/>
      <c r="D66" s="38"/>
      <c r="E66" s="37"/>
      <c r="F66" s="41"/>
      <c r="G66" s="41"/>
      <c r="H66" s="41"/>
    </row>
    <row r="67" spans="1:8" ht="17.399999999999999" x14ac:dyDescent="0.35">
      <c r="A67" s="36"/>
      <c r="B67" s="36"/>
      <c r="C67" s="37"/>
      <c r="D67" s="38"/>
      <c r="E67" s="37"/>
      <c r="F67" s="41"/>
      <c r="G67" s="41"/>
      <c r="H67" s="41"/>
    </row>
    <row r="68" spans="1:8" ht="17.399999999999999" x14ac:dyDescent="0.35">
      <c r="A68" s="36"/>
      <c r="B68" s="36"/>
      <c r="C68" s="37"/>
      <c r="D68" s="38"/>
      <c r="E68" s="37"/>
      <c r="F68" s="41"/>
      <c r="G68" s="41"/>
      <c r="H68" s="41"/>
    </row>
    <row r="69" spans="1:8" ht="17.399999999999999" x14ac:dyDescent="0.35">
      <c r="A69" s="36"/>
      <c r="B69" s="36"/>
      <c r="C69" s="37"/>
      <c r="D69" s="38"/>
      <c r="E69" s="37"/>
      <c r="F69" s="41"/>
      <c r="G69" s="41"/>
      <c r="H69" s="41"/>
    </row>
    <row r="70" spans="1:8" ht="17.399999999999999" x14ac:dyDescent="0.35">
      <c r="A70" s="36"/>
      <c r="B70" s="36"/>
      <c r="C70" s="37"/>
      <c r="D70" s="38"/>
      <c r="E70" s="37"/>
      <c r="F70" s="41"/>
      <c r="G70" s="41"/>
      <c r="H70" s="41"/>
    </row>
    <row r="71" spans="1:8" ht="17.399999999999999" x14ac:dyDescent="0.35">
      <c r="A71" s="36"/>
      <c r="B71" s="36"/>
      <c r="C71" s="37"/>
      <c r="D71" s="38"/>
      <c r="E71" s="37"/>
      <c r="F71" s="41"/>
      <c r="G71" s="41"/>
      <c r="H71" s="41"/>
    </row>
    <row r="72" spans="1:8" ht="17.399999999999999" x14ac:dyDescent="0.35">
      <c r="A72" s="36"/>
      <c r="B72" s="36"/>
      <c r="C72" s="37"/>
      <c r="D72" s="38"/>
      <c r="E72" s="37"/>
      <c r="F72" s="41"/>
      <c r="G72" s="41"/>
      <c r="H72" s="41"/>
    </row>
    <row r="73" spans="1:8" ht="17.399999999999999" x14ac:dyDescent="0.35">
      <c r="A73" s="36"/>
      <c r="B73" s="36"/>
      <c r="C73" s="37"/>
      <c r="D73" s="38"/>
      <c r="E73" s="37"/>
      <c r="F73" s="41"/>
      <c r="G73" s="41"/>
      <c r="H73" s="41"/>
    </row>
    <row r="74" spans="1:8" ht="17.399999999999999" x14ac:dyDescent="0.35">
      <c r="A74" s="36"/>
      <c r="B74" s="36"/>
      <c r="C74" s="37"/>
      <c r="D74" s="38"/>
      <c r="E74" s="37"/>
      <c r="F74" s="41"/>
      <c r="G74" s="41"/>
      <c r="H74" s="41"/>
    </row>
    <row r="75" spans="1:8" ht="17.399999999999999" x14ac:dyDescent="0.35">
      <c r="A75" s="36"/>
      <c r="B75" s="36"/>
      <c r="C75" s="37"/>
      <c r="D75" s="38"/>
      <c r="E75" s="37"/>
      <c r="F75" s="41"/>
      <c r="G75" s="41"/>
      <c r="H75" s="41"/>
    </row>
    <row r="76" spans="1:8" ht="17.399999999999999" x14ac:dyDescent="0.35">
      <c r="A76" s="36"/>
      <c r="B76" s="36"/>
      <c r="C76" s="37"/>
      <c r="D76" s="38"/>
      <c r="E76" s="37"/>
      <c r="F76" s="41"/>
      <c r="G76" s="41"/>
      <c r="H76" s="41"/>
    </row>
    <row r="77" spans="1:8" ht="17.399999999999999" x14ac:dyDescent="0.35">
      <c r="A77" s="36"/>
      <c r="B77" s="36"/>
      <c r="C77" s="37"/>
      <c r="D77" s="38"/>
      <c r="E77" s="37"/>
      <c r="F77" s="41"/>
      <c r="G77" s="41"/>
      <c r="H77" s="41"/>
    </row>
    <row r="78" spans="1:8" ht="17.399999999999999" x14ac:dyDescent="0.35">
      <c r="A78" s="36"/>
      <c r="B78" s="36"/>
      <c r="C78" s="37"/>
      <c r="D78" s="38"/>
      <c r="E78" s="37"/>
      <c r="F78" s="41"/>
      <c r="G78" s="41"/>
      <c r="H78" s="41"/>
    </row>
    <row r="79" spans="1:8" ht="17.399999999999999" x14ac:dyDescent="0.35">
      <c r="A79" s="36"/>
      <c r="B79" s="36"/>
      <c r="C79" s="37"/>
      <c r="D79" s="38"/>
      <c r="E79" s="37"/>
      <c r="F79" s="41"/>
      <c r="G79" s="41"/>
      <c r="H79" s="41"/>
    </row>
    <row r="80" spans="1:8" ht="17.399999999999999" x14ac:dyDescent="0.35">
      <c r="A80" s="36"/>
      <c r="B80" s="36"/>
      <c r="C80" s="37"/>
      <c r="D80" s="38"/>
      <c r="E80" s="37"/>
      <c r="F80" s="41"/>
      <c r="G80" s="41"/>
      <c r="H80" s="41"/>
    </row>
    <row r="81" spans="1:8" ht="17.399999999999999" x14ac:dyDescent="0.35">
      <c r="A81" s="36"/>
      <c r="B81" s="36"/>
      <c r="C81" s="37"/>
      <c r="D81" s="38"/>
      <c r="E81" s="37"/>
      <c r="F81" s="41"/>
      <c r="G81" s="41"/>
      <c r="H81" s="41"/>
    </row>
    <row r="82" spans="1:8" ht="17.399999999999999" x14ac:dyDescent="0.35">
      <c r="A82" s="36"/>
      <c r="B82" s="36"/>
      <c r="C82" s="37"/>
      <c r="D82" s="38"/>
      <c r="E82" s="37"/>
      <c r="F82" s="41"/>
      <c r="G82" s="41"/>
      <c r="H82" s="41"/>
    </row>
    <row r="83" spans="1:8" ht="17.399999999999999" x14ac:dyDescent="0.35">
      <c r="A83" s="36"/>
      <c r="B83" s="36"/>
      <c r="C83" s="37"/>
      <c r="D83" s="38"/>
      <c r="E83" s="37"/>
      <c r="F83" s="41"/>
      <c r="G83" s="41"/>
      <c r="H83" s="41"/>
    </row>
    <row r="84" spans="1:8" ht="17.399999999999999" x14ac:dyDescent="0.35">
      <c r="A84" s="36"/>
      <c r="B84" s="36"/>
      <c r="C84" s="37"/>
      <c r="D84" s="38"/>
      <c r="E84" s="37"/>
      <c r="F84" s="41"/>
      <c r="G84" s="41"/>
      <c r="H84" s="41"/>
    </row>
    <row r="85" spans="1:8" ht="17.399999999999999" x14ac:dyDescent="0.35">
      <c r="A85" s="36"/>
      <c r="B85" s="36"/>
      <c r="C85" s="37"/>
      <c r="D85" s="38"/>
      <c r="E85" s="37"/>
      <c r="F85" s="41"/>
      <c r="G85" s="41"/>
      <c r="H85" s="41"/>
    </row>
    <row r="86" spans="1:8" ht="17.399999999999999" x14ac:dyDescent="0.35">
      <c r="A86" s="36"/>
      <c r="B86" s="36"/>
      <c r="C86" s="37"/>
      <c r="D86" s="38"/>
      <c r="E86" s="37"/>
      <c r="F86" s="41"/>
      <c r="G86" s="41"/>
      <c r="H86" s="41"/>
    </row>
    <row r="87" spans="1:8" ht="17.399999999999999" x14ac:dyDescent="0.35">
      <c r="A87" s="36"/>
      <c r="B87" s="36"/>
      <c r="C87" s="37"/>
      <c r="D87" s="38"/>
      <c r="E87" s="37"/>
      <c r="F87" s="41"/>
      <c r="G87" s="41"/>
      <c r="H87" s="41"/>
    </row>
    <row r="88" spans="1:8" ht="17.399999999999999" x14ac:dyDescent="0.35">
      <c r="A88" s="36"/>
      <c r="B88" s="36"/>
      <c r="C88" s="37"/>
      <c r="D88" s="38"/>
      <c r="E88" s="37"/>
      <c r="F88" s="41"/>
      <c r="G88" s="41"/>
      <c r="H88" s="41"/>
    </row>
    <row r="89" spans="1:8" ht="17.399999999999999" x14ac:dyDescent="0.35">
      <c r="A89" s="36"/>
      <c r="B89" s="36"/>
      <c r="C89" s="37"/>
      <c r="D89" s="38"/>
      <c r="E89" s="37"/>
      <c r="F89" s="41"/>
      <c r="G89" s="41"/>
      <c r="H89" s="41"/>
    </row>
    <row r="90" spans="1:8" ht="17.399999999999999" x14ac:dyDescent="0.35">
      <c r="A90" s="36"/>
      <c r="B90" s="36"/>
      <c r="C90" s="37"/>
      <c r="D90" s="38"/>
      <c r="E90" s="37"/>
      <c r="F90" s="41"/>
      <c r="G90" s="41"/>
      <c r="H90" s="41"/>
    </row>
    <row r="91" spans="1:8" ht="17.399999999999999" x14ac:dyDescent="0.35">
      <c r="A91" s="36"/>
      <c r="B91" s="36"/>
      <c r="C91" s="37"/>
      <c r="D91" s="38"/>
      <c r="E91" s="37"/>
      <c r="F91" s="41"/>
      <c r="G91" s="41"/>
      <c r="H91" s="41"/>
    </row>
    <row r="92" spans="1:8" ht="17.399999999999999" x14ac:dyDescent="0.35">
      <c r="A92" s="36"/>
      <c r="B92" s="36"/>
      <c r="C92" s="37"/>
      <c r="D92" s="38"/>
      <c r="E92" s="37"/>
      <c r="F92" s="41"/>
      <c r="G92" s="41"/>
      <c r="H92" s="41"/>
    </row>
    <row r="93" spans="1:8" ht="17.399999999999999" x14ac:dyDescent="0.35">
      <c r="A93" s="36"/>
      <c r="B93" s="36"/>
      <c r="C93" s="37"/>
      <c r="D93" s="38"/>
      <c r="E93" s="37"/>
      <c r="F93" s="41"/>
      <c r="G93" s="41"/>
      <c r="H93" s="41"/>
    </row>
    <row r="94" spans="1:8" ht="17.399999999999999" x14ac:dyDescent="0.35">
      <c r="A94" s="36"/>
      <c r="B94" s="36"/>
      <c r="C94" s="37"/>
      <c r="D94" s="38"/>
      <c r="E94" s="37"/>
      <c r="F94" s="41"/>
      <c r="G94" s="41"/>
      <c r="H94" s="41"/>
    </row>
    <row r="95" spans="1:8" ht="17.399999999999999" x14ac:dyDescent="0.35">
      <c r="A95" s="36"/>
      <c r="B95" s="36"/>
      <c r="C95" s="37"/>
      <c r="D95" s="38"/>
      <c r="E95" s="37"/>
      <c r="F95" s="41"/>
      <c r="G95" s="41"/>
      <c r="H95" s="41"/>
    </row>
    <row r="96" spans="1:8" ht="17.399999999999999" x14ac:dyDescent="0.35">
      <c r="A96" s="36"/>
      <c r="B96" s="36"/>
      <c r="C96" s="37"/>
      <c r="D96" s="38"/>
      <c r="E96" s="37"/>
      <c r="F96" s="41"/>
      <c r="G96" s="41"/>
      <c r="H96" s="41"/>
    </row>
    <row r="97" spans="1:8" ht="17.399999999999999" x14ac:dyDescent="0.35">
      <c r="A97" s="36"/>
      <c r="B97" s="36"/>
      <c r="C97" s="37"/>
      <c r="D97" s="38"/>
      <c r="E97" s="37"/>
      <c r="F97" s="41"/>
      <c r="G97" s="41"/>
      <c r="H97" s="41"/>
    </row>
    <row r="98" spans="1:8" ht="17.399999999999999" x14ac:dyDescent="0.35">
      <c r="A98" s="36"/>
      <c r="B98" s="36"/>
      <c r="C98" s="37"/>
      <c r="D98" s="38"/>
      <c r="E98" s="37"/>
      <c r="F98" s="41"/>
      <c r="G98" s="41"/>
      <c r="H98" s="41"/>
    </row>
    <row r="99" spans="1:8" ht="17.399999999999999" x14ac:dyDescent="0.35">
      <c r="A99" s="36"/>
      <c r="B99" s="36"/>
      <c r="C99" s="37"/>
      <c r="D99" s="38"/>
      <c r="E99" s="37"/>
      <c r="F99" s="41"/>
      <c r="G99" s="41"/>
      <c r="H99" s="41"/>
    </row>
    <row r="100" spans="1:8" ht="17.399999999999999" x14ac:dyDescent="0.35">
      <c r="A100" s="36"/>
      <c r="B100" s="36"/>
      <c r="C100" s="37"/>
      <c r="D100" s="38"/>
      <c r="E100" s="37"/>
      <c r="F100" s="41"/>
      <c r="G100" s="41"/>
      <c r="H100" s="41"/>
    </row>
    <row r="101" spans="1:8" ht="17.399999999999999" x14ac:dyDescent="0.35">
      <c r="A101" s="36"/>
      <c r="B101" s="36"/>
      <c r="C101" s="37"/>
      <c r="D101" s="38"/>
      <c r="E101" s="37"/>
      <c r="F101" s="41"/>
      <c r="G101" s="41"/>
      <c r="H101" s="41"/>
    </row>
    <row r="102" spans="1:8" ht="17.399999999999999" x14ac:dyDescent="0.35">
      <c r="A102" s="36"/>
      <c r="B102" s="36"/>
      <c r="C102" s="37"/>
      <c r="D102" s="38"/>
      <c r="E102" s="37"/>
      <c r="F102" s="41"/>
      <c r="G102" s="41"/>
      <c r="H102" s="41"/>
    </row>
    <row r="103" spans="1:8" ht="17.399999999999999" x14ac:dyDescent="0.35">
      <c r="A103" s="36"/>
      <c r="B103" s="36"/>
      <c r="C103" s="37"/>
      <c r="D103" s="38"/>
      <c r="E103" s="37"/>
      <c r="F103" s="41"/>
      <c r="G103" s="41"/>
      <c r="H103" s="41"/>
    </row>
    <row r="104" spans="1:8" ht="17.399999999999999" x14ac:dyDescent="0.35">
      <c r="A104" s="36"/>
      <c r="B104" s="36"/>
      <c r="C104" s="37"/>
      <c r="D104" s="38"/>
      <c r="E104" s="37"/>
      <c r="F104" s="41"/>
      <c r="G104" s="41"/>
      <c r="H104" s="41"/>
    </row>
    <row r="105" spans="1:8" ht="17.399999999999999" x14ac:dyDescent="0.35">
      <c r="A105" s="36"/>
      <c r="B105" s="36"/>
      <c r="C105" s="37"/>
      <c r="D105" s="38"/>
      <c r="E105" s="37"/>
      <c r="F105" s="41"/>
      <c r="G105" s="41"/>
      <c r="H105" s="41"/>
    </row>
    <row r="106" spans="1:8" ht="17.399999999999999" x14ac:dyDescent="0.35">
      <c r="A106" s="36"/>
      <c r="B106" s="36"/>
      <c r="C106" s="37"/>
      <c r="D106" s="38"/>
      <c r="E106" s="37"/>
      <c r="F106" s="41"/>
      <c r="G106" s="41"/>
      <c r="H106" s="41"/>
    </row>
    <row r="107" spans="1:8" ht="17.399999999999999" x14ac:dyDescent="0.35">
      <c r="A107" s="36"/>
      <c r="B107" s="36"/>
      <c r="C107" s="37"/>
      <c r="D107" s="38"/>
      <c r="E107" s="37"/>
      <c r="F107" s="41"/>
      <c r="G107" s="41"/>
      <c r="H107" s="41"/>
    </row>
    <row r="108" spans="1:8" ht="17.399999999999999" x14ac:dyDescent="0.35">
      <c r="A108" s="36"/>
      <c r="B108" s="36"/>
      <c r="C108" s="37"/>
      <c r="D108" s="38"/>
      <c r="E108" s="37"/>
      <c r="F108" s="41"/>
      <c r="G108" s="41"/>
      <c r="H108" s="41"/>
    </row>
    <row r="109" spans="1:8" ht="17.399999999999999" x14ac:dyDescent="0.35">
      <c r="A109" s="36"/>
      <c r="B109" s="36"/>
      <c r="C109" s="37"/>
      <c r="D109" s="38"/>
      <c r="E109" s="37"/>
      <c r="F109" s="41"/>
      <c r="G109" s="41"/>
      <c r="H109" s="41"/>
    </row>
    <row r="110" spans="1:8" ht="17.399999999999999" x14ac:dyDescent="0.35">
      <c r="A110" s="36"/>
      <c r="B110" s="36"/>
      <c r="C110" s="37"/>
      <c r="D110" s="38"/>
      <c r="E110" s="37"/>
      <c r="F110" s="41"/>
      <c r="G110" s="41"/>
      <c r="H110" s="41"/>
    </row>
    <row r="111" spans="1:8" ht="17.399999999999999" x14ac:dyDescent="0.35">
      <c r="A111" s="36"/>
      <c r="B111" s="36"/>
      <c r="C111" s="37"/>
      <c r="D111" s="38"/>
      <c r="E111" s="37"/>
      <c r="F111" s="41"/>
      <c r="G111" s="41"/>
      <c r="H111" s="41"/>
    </row>
    <row r="112" spans="1:8" ht="17.399999999999999" x14ac:dyDescent="0.35">
      <c r="A112" s="36"/>
      <c r="B112" s="36"/>
      <c r="C112" s="37"/>
      <c r="D112" s="38"/>
      <c r="E112" s="37"/>
      <c r="F112" s="41"/>
      <c r="G112" s="41"/>
      <c r="H112" s="41"/>
    </row>
    <row r="113" spans="1:8" ht="17.399999999999999" x14ac:dyDescent="0.35">
      <c r="A113" s="36"/>
      <c r="B113" s="36"/>
      <c r="C113" s="37"/>
      <c r="D113" s="38"/>
      <c r="E113" s="37"/>
      <c r="F113" s="41"/>
      <c r="G113" s="41"/>
      <c r="H113" s="41"/>
    </row>
    <row r="114" spans="1:8" ht="17.399999999999999" x14ac:dyDescent="0.35">
      <c r="A114" s="36"/>
      <c r="B114" s="36"/>
      <c r="C114" s="37"/>
      <c r="D114" s="38"/>
      <c r="E114" s="37"/>
      <c r="F114" s="41"/>
      <c r="G114" s="41"/>
      <c r="H114" s="41"/>
    </row>
    <row r="115" spans="1:8" ht="17.399999999999999" x14ac:dyDescent="0.35">
      <c r="A115" s="36"/>
      <c r="B115" s="36"/>
      <c r="C115" s="37"/>
      <c r="D115" s="38"/>
      <c r="E115" s="37"/>
      <c r="F115" s="41"/>
      <c r="G115" s="41"/>
      <c r="H115" s="41"/>
    </row>
    <row r="116" spans="1:8" ht="17.399999999999999" x14ac:dyDescent="0.35">
      <c r="A116" s="36"/>
      <c r="B116" s="36"/>
      <c r="C116" s="37"/>
      <c r="D116" s="38"/>
      <c r="E116" s="37"/>
      <c r="F116" s="41"/>
      <c r="G116" s="41"/>
      <c r="H116" s="41"/>
    </row>
    <row r="117" spans="1:8" ht="17.399999999999999" x14ac:dyDescent="0.35">
      <c r="A117" s="36"/>
      <c r="B117" s="36"/>
      <c r="C117" s="37"/>
      <c r="D117" s="38"/>
      <c r="E117" s="37"/>
      <c r="F117" s="41"/>
      <c r="G117" s="41"/>
      <c r="H117" s="41"/>
    </row>
    <row r="118" spans="1:8" ht="17.399999999999999" x14ac:dyDescent="0.35">
      <c r="A118" s="36"/>
      <c r="B118" s="36"/>
      <c r="C118" s="37"/>
      <c r="D118" s="38"/>
      <c r="E118" s="37"/>
      <c r="F118" s="41"/>
      <c r="G118" s="41"/>
      <c r="H118" s="41"/>
    </row>
    <row r="119" spans="1:8" ht="17.399999999999999" x14ac:dyDescent="0.35">
      <c r="A119" s="36"/>
      <c r="B119" s="36"/>
      <c r="C119" s="37"/>
      <c r="D119" s="38"/>
      <c r="E119" s="37"/>
      <c r="F119" s="41"/>
      <c r="G119" s="41"/>
      <c r="H119" s="41"/>
    </row>
    <row r="120" spans="1:8" ht="17.399999999999999" x14ac:dyDescent="0.35">
      <c r="A120" s="36"/>
      <c r="B120" s="36"/>
      <c r="C120" s="37"/>
      <c r="D120" s="38"/>
      <c r="E120" s="37"/>
      <c r="F120" s="41"/>
      <c r="G120" s="41"/>
      <c r="H120" s="41"/>
    </row>
    <row r="121" spans="1:8" ht="17.399999999999999" x14ac:dyDescent="0.35">
      <c r="A121" s="36"/>
      <c r="B121" s="36"/>
      <c r="C121" s="37"/>
      <c r="D121" s="38"/>
      <c r="E121" s="37"/>
      <c r="F121" s="41"/>
      <c r="G121" s="41"/>
      <c r="H121" s="41"/>
    </row>
    <row r="122" spans="1:8" ht="17.399999999999999" x14ac:dyDescent="0.35">
      <c r="A122" s="36"/>
      <c r="B122" s="36"/>
      <c r="C122" s="37"/>
      <c r="D122" s="38"/>
      <c r="E122" s="37"/>
      <c r="F122" s="41"/>
      <c r="G122" s="41"/>
      <c r="H122" s="41"/>
    </row>
    <row r="123" spans="1:8" ht="17.399999999999999" x14ac:dyDescent="0.35">
      <c r="A123" s="36"/>
      <c r="B123" s="36"/>
      <c r="C123" s="37"/>
      <c r="D123" s="38"/>
      <c r="E123" s="37"/>
      <c r="F123" s="41"/>
      <c r="G123" s="41"/>
      <c r="H123" s="41"/>
    </row>
    <row r="124" spans="1:8" ht="17.399999999999999" x14ac:dyDescent="0.35">
      <c r="A124" s="36"/>
      <c r="B124" s="36"/>
      <c r="C124" s="37"/>
      <c r="D124" s="38"/>
      <c r="E124" s="37"/>
      <c r="F124" s="41"/>
      <c r="G124" s="41"/>
      <c r="H124" s="41"/>
    </row>
    <row r="125" spans="1:8" ht="17.399999999999999" x14ac:dyDescent="0.35">
      <c r="A125" s="36"/>
      <c r="B125" s="36"/>
      <c r="C125" s="37"/>
      <c r="D125" s="38"/>
      <c r="E125" s="37"/>
      <c r="F125" s="41"/>
      <c r="G125" s="41"/>
      <c r="H125" s="41"/>
    </row>
    <row r="126" spans="1:8" ht="17.399999999999999" x14ac:dyDescent="0.35">
      <c r="A126" s="36"/>
      <c r="B126" s="36"/>
      <c r="C126" s="37"/>
      <c r="D126" s="38"/>
      <c r="E126" s="37"/>
      <c r="F126" s="41"/>
      <c r="G126" s="41"/>
      <c r="H126" s="41"/>
    </row>
    <row r="127" spans="1:8" ht="17.399999999999999" x14ac:dyDescent="0.35">
      <c r="A127" s="36"/>
      <c r="B127" s="36"/>
      <c r="C127" s="37"/>
      <c r="D127" s="38"/>
      <c r="E127" s="37"/>
      <c r="F127" s="41"/>
      <c r="G127" s="41"/>
      <c r="H127" s="41"/>
    </row>
    <row r="128" spans="1:8" ht="17.399999999999999" x14ac:dyDescent="0.35">
      <c r="A128" s="36"/>
      <c r="B128" s="36"/>
      <c r="C128" s="37"/>
      <c r="D128" s="38"/>
      <c r="E128" s="37"/>
      <c r="F128" s="41"/>
      <c r="G128" s="41"/>
      <c r="H128" s="41"/>
    </row>
    <row r="129" spans="1:8" ht="17.399999999999999" x14ac:dyDescent="0.35">
      <c r="A129" s="36"/>
      <c r="B129" s="36"/>
      <c r="C129" s="37"/>
      <c r="D129" s="38"/>
      <c r="E129" s="37"/>
      <c r="F129" s="41"/>
      <c r="G129" s="41"/>
      <c r="H129" s="41"/>
    </row>
    <row r="130" spans="1:8" ht="17.399999999999999" x14ac:dyDescent="0.35">
      <c r="A130" s="36"/>
      <c r="B130" s="36"/>
      <c r="C130" s="37"/>
      <c r="D130" s="38"/>
      <c r="E130" s="37"/>
      <c r="F130" s="41"/>
      <c r="G130" s="41"/>
      <c r="H130" s="41"/>
    </row>
    <row r="131" spans="1:8" ht="17.399999999999999" x14ac:dyDescent="0.35">
      <c r="A131" s="36"/>
      <c r="B131" s="36"/>
      <c r="C131" s="37"/>
      <c r="D131" s="38"/>
      <c r="E131" s="37"/>
      <c r="F131" s="41"/>
      <c r="G131" s="41"/>
      <c r="H131" s="41"/>
    </row>
    <row r="132" spans="1:8" ht="17.399999999999999" x14ac:dyDescent="0.35">
      <c r="A132" s="36"/>
      <c r="B132" s="36"/>
      <c r="C132" s="37"/>
      <c r="D132" s="38"/>
      <c r="E132" s="37"/>
      <c r="F132" s="41"/>
      <c r="G132" s="41"/>
      <c r="H132" s="41"/>
    </row>
    <row r="133" spans="1:8" ht="17.399999999999999" x14ac:dyDescent="0.35">
      <c r="A133" s="36"/>
      <c r="B133" s="36"/>
      <c r="C133" s="37"/>
      <c r="D133" s="38"/>
      <c r="E133" s="37"/>
      <c r="F133" s="41"/>
      <c r="G133" s="41"/>
      <c r="H133" s="41"/>
    </row>
    <row r="134" spans="1:8" ht="17.399999999999999" x14ac:dyDescent="0.35">
      <c r="A134" s="36"/>
      <c r="B134" s="36"/>
      <c r="C134" s="37"/>
      <c r="D134" s="38"/>
      <c r="E134" s="37"/>
      <c r="F134" s="41"/>
      <c r="G134" s="41"/>
      <c r="H134" s="41"/>
    </row>
    <row r="135" spans="1:8" ht="17.399999999999999" x14ac:dyDescent="0.35">
      <c r="A135" s="36"/>
      <c r="B135" s="36"/>
      <c r="C135" s="37"/>
      <c r="D135" s="38"/>
      <c r="E135" s="37"/>
      <c r="F135" s="41"/>
      <c r="G135" s="41"/>
      <c r="H135" s="41"/>
    </row>
    <row r="136" spans="1:8" ht="17.399999999999999" x14ac:dyDescent="0.35">
      <c r="A136" s="36"/>
      <c r="B136" s="36"/>
      <c r="C136" s="37"/>
      <c r="D136" s="38"/>
      <c r="E136" s="37"/>
      <c r="F136" s="41"/>
      <c r="G136" s="41"/>
      <c r="H136" s="41"/>
    </row>
    <row r="137" spans="1:8" ht="17.399999999999999" x14ac:dyDescent="0.35">
      <c r="A137" s="36"/>
      <c r="B137" s="36"/>
      <c r="C137" s="37"/>
      <c r="D137" s="38"/>
      <c r="E137" s="37"/>
      <c r="F137" s="41"/>
      <c r="G137" s="41"/>
      <c r="H137" s="41"/>
    </row>
    <row r="138" spans="1:8" ht="17.399999999999999" x14ac:dyDescent="0.35">
      <c r="A138" s="36"/>
      <c r="B138" s="36"/>
      <c r="C138" s="37"/>
      <c r="D138" s="38"/>
      <c r="E138" s="37"/>
      <c r="F138" s="41"/>
      <c r="G138" s="41"/>
      <c r="H138" s="41"/>
    </row>
    <row r="139" spans="1:8" ht="17.399999999999999" x14ac:dyDescent="0.35">
      <c r="A139" s="36"/>
      <c r="B139" s="36"/>
      <c r="C139" s="37"/>
      <c r="D139" s="38"/>
      <c r="E139" s="37"/>
      <c r="F139" s="41"/>
      <c r="G139" s="41"/>
      <c r="H139" s="41"/>
    </row>
    <row r="140" spans="1:8" ht="17.399999999999999" x14ac:dyDescent="0.35">
      <c r="A140" s="36"/>
      <c r="B140" s="36"/>
      <c r="C140" s="37"/>
      <c r="D140" s="38"/>
      <c r="E140" s="37"/>
      <c r="F140" s="41"/>
      <c r="G140" s="41"/>
      <c r="H140" s="41"/>
    </row>
    <row r="141" spans="1:8" ht="17.399999999999999" x14ac:dyDescent="0.35">
      <c r="A141" s="36"/>
      <c r="B141" s="36"/>
      <c r="C141" s="37"/>
      <c r="D141" s="38"/>
      <c r="E141" s="37"/>
      <c r="F141" s="41"/>
      <c r="G141" s="41"/>
      <c r="H141" s="41"/>
    </row>
    <row r="142" spans="1:8" ht="17.399999999999999" x14ac:dyDescent="0.35">
      <c r="A142" s="36"/>
      <c r="B142" s="36"/>
      <c r="C142" s="37"/>
      <c r="D142" s="38"/>
      <c r="E142" s="37"/>
      <c r="F142" s="41"/>
      <c r="G142" s="41"/>
      <c r="H142" s="41"/>
    </row>
    <row r="143" spans="1:8" ht="17.399999999999999" x14ac:dyDescent="0.35">
      <c r="A143" s="36"/>
      <c r="B143" s="36"/>
      <c r="C143" s="37"/>
      <c r="D143" s="38"/>
      <c r="E143" s="37"/>
      <c r="F143" s="41"/>
      <c r="G143" s="41"/>
      <c r="H143" s="41"/>
    </row>
    <row r="144" spans="1:8" ht="17.399999999999999" x14ac:dyDescent="0.35">
      <c r="A144" s="36"/>
      <c r="B144" s="36"/>
      <c r="C144" s="37"/>
      <c r="D144" s="38"/>
      <c r="E144" s="37"/>
      <c r="F144" s="41"/>
      <c r="G144" s="41"/>
      <c r="H144" s="41"/>
    </row>
    <row r="145" spans="1:8" ht="17.399999999999999" x14ac:dyDescent="0.35">
      <c r="A145" s="36"/>
      <c r="B145" s="36"/>
      <c r="C145" s="37"/>
      <c r="D145" s="38"/>
      <c r="E145" s="37"/>
      <c r="F145" s="41"/>
      <c r="G145" s="41"/>
      <c r="H145" s="41"/>
    </row>
    <row r="146" spans="1:8" ht="17.399999999999999" x14ac:dyDescent="0.35">
      <c r="A146" s="36"/>
      <c r="B146" s="36"/>
      <c r="C146" s="37"/>
      <c r="D146" s="38"/>
      <c r="E146" s="37"/>
      <c r="F146" s="41"/>
      <c r="G146" s="41"/>
      <c r="H146" s="41"/>
    </row>
    <row r="147" spans="1:8" ht="17.399999999999999" x14ac:dyDescent="0.35">
      <c r="A147" s="36"/>
      <c r="B147" s="36"/>
      <c r="C147" s="37"/>
      <c r="D147" s="38"/>
      <c r="E147" s="37"/>
      <c r="F147" s="41"/>
      <c r="G147" s="41"/>
      <c r="H147" s="41"/>
    </row>
    <row r="148" spans="1:8" ht="17.399999999999999" x14ac:dyDescent="0.35">
      <c r="A148" s="36"/>
      <c r="B148" s="36"/>
      <c r="C148" s="37"/>
      <c r="D148" s="38"/>
      <c r="E148" s="37"/>
      <c r="F148" s="41"/>
      <c r="G148" s="41"/>
      <c r="H148" s="41"/>
    </row>
    <row r="149" spans="1:8" ht="17.399999999999999" x14ac:dyDescent="0.35">
      <c r="A149" s="36"/>
      <c r="B149" s="36"/>
      <c r="C149" s="37"/>
      <c r="D149" s="38"/>
      <c r="E149" s="37"/>
      <c r="F149" s="41"/>
      <c r="G149" s="41"/>
      <c r="H149" s="41"/>
    </row>
    <row r="150" spans="1:8" ht="17.399999999999999" x14ac:dyDescent="0.35">
      <c r="A150" s="36"/>
      <c r="B150" s="36"/>
      <c r="C150" s="37"/>
      <c r="D150" s="38"/>
      <c r="E150" s="37"/>
      <c r="F150" s="41"/>
      <c r="G150" s="41"/>
      <c r="H150" s="41"/>
    </row>
    <row r="151" spans="1:8" ht="17.399999999999999" x14ac:dyDescent="0.35">
      <c r="A151" s="36"/>
      <c r="B151" s="36"/>
      <c r="C151" s="37"/>
      <c r="D151" s="38"/>
      <c r="E151" s="37"/>
      <c r="F151" s="41"/>
      <c r="G151" s="41"/>
      <c r="H151" s="41"/>
    </row>
    <row r="152" spans="1:8" ht="17.399999999999999" x14ac:dyDescent="0.35">
      <c r="A152" s="36"/>
      <c r="B152" s="36"/>
      <c r="C152" s="37"/>
      <c r="D152" s="38"/>
      <c r="E152" s="37"/>
      <c r="F152" s="41"/>
      <c r="G152" s="41"/>
      <c r="H152" s="41"/>
    </row>
    <row r="153" spans="1:8" ht="17.399999999999999" x14ac:dyDescent="0.35">
      <c r="A153" s="36"/>
      <c r="B153" s="36"/>
      <c r="C153" s="37"/>
      <c r="D153" s="38"/>
      <c r="E153" s="37"/>
      <c r="F153" s="41"/>
      <c r="G153" s="41"/>
      <c r="H153" s="41"/>
    </row>
    <row r="154" spans="1:8" ht="17.399999999999999" x14ac:dyDescent="0.35">
      <c r="A154" s="36"/>
      <c r="B154" s="36"/>
      <c r="C154" s="37"/>
      <c r="D154" s="38"/>
      <c r="E154" s="37"/>
      <c r="F154" s="41"/>
      <c r="G154" s="41"/>
      <c r="H154" s="41"/>
    </row>
    <row r="155" spans="1:8" ht="17.399999999999999" x14ac:dyDescent="0.35">
      <c r="A155" s="36"/>
      <c r="B155" s="36"/>
      <c r="C155" s="37"/>
      <c r="D155" s="38"/>
      <c r="E155" s="37"/>
      <c r="F155" s="41"/>
      <c r="G155" s="41"/>
      <c r="H155" s="41"/>
    </row>
    <row r="156" spans="1:8" ht="17.399999999999999" x14ac:dyDescent="0.35">
      <c r="A156" s="36"/>
      <c r="B156" s="36"/>
      <c r="C156" s="37"/>
      <c r="D156" s="38"/>
      <c r="E156" s="37"/>
      <c r="F156" s="41"/>
      <c r="G156" s="41"/>
      <c r="H156" s="41"/>
    </row>
    <row r="157" spans="1:8" ht="17.399999999999999" x14ac:dyDescent="0.35">
      <c r="A157" s="36"/>
      <c r="B157" s="36"/>
      <c r="C157" s="37"/>
      <c r="D157" s="38"/>
      <c r="E157" s="37"/>
      <c r="F157" s="41"/>
      <c r="G157" s="41"/>
      <c r="H157" s="41"/>
    </row>
    <row r="158" spans="1:8" ht="17.399999999999999" x14ac:dyDescent="0.35">
      <c r="A158" s="36"/>
      <c r="B158" s="36"/>
      <c r="C158" s="37"/>
      <c r="D158" s="38"/>
      <c r="E158" s="37"/>
      <c r="F158" s="41"/>
      <c r="G158" s="41"/>
      <c r="H158" s="41"/>
    </row>
    <row r="159" spans="1:8" ht="17.399999999999999" x14ac:dyDescent="0.35">
      <c r="A159" s="36"/>
      <c r="B159" s="36"/>
      <c r="C159" s="37"/>
      <c r="D159" s="38"/>
      <c r="E159" s="37"/>
      <c r="F159" s="41"/>
      <c r="G159" s="41"/>
      <c r="H159" s="41"/>
    </row>
    <row r="160" spans="1:8" ht="17.399999999999999" x14ac:dyDescent="0.35">
      <c r="A160" s="36"/>
      <c r="B160" s="36"/>
      <c r="C160" s="37"/>
      <c r="D160" s="38"/>
      <c r="E160" s="37"/>
      <c r="F160" s="41"/>
      <c r="G160" s="41"/>
      <c r="H160" s="41"/>
    </row>
    <row r="161" spans="1:8" ht="17.399999999999999" x14ac:dyDescent="0.35">
      <c r="A161" s="36"/>
      <c r="B161" s="36"/>
      <c r="C161" s="37"/>
      <c r="D161" s="38"/>
      <c r="E161" s="37"/>
      <c r="F161" s="41"/>
      <c r="G161" s="41"/>
      <c r="H161" s="41"/>
    </row>
    <row r="162" spans="1:8" ht="17.399999999999999" x14ac:dyDescent="0.35">
      <c r="A162" s="36"/>
      <c r="B162" s="36"/>
      <c r="C162" s="37"/>
      <c r="D162" s="38"/>
      <c r="E162" s="37"/>
      <c r="F162" s="41"/>
      <c r="G162" s="41"/>
      <c r="H162" s="41"/>
    </row>
    <row r="163" spans="1:8" ht="17.399999999999999" x14ac:dyDescent="0.35">
      <c r="A163" s="36"/>
      <c r="B163" s="36"/>
      <c r="C163" s="37"/>
      <c r="D163" s="38"/>
      <c r="E163" s="37"/>
      <c r="F163" s="41"/>
      <c r="G163" s="41"/>
      <c r="H163" s="41"/>
    </row>
    <row r="164" spans="1:8" ht="17.399999999999999" x14ac:dyDescent="0.35">
      <c r="A164" s="36"/>
      <c r="B164" s="36"/>
      <c r="C164" s="37"/>
      <c r="D164" s="38"/>
      <c r="E164" s="37"/>
      <c r="F164" s="41"/>
      <c r="G164" s="41"/>
      <c r="H164" s="41"/>
    </row>
    <row r="165" spans="1:8" ht="17.399999999999999" x14ac:dyDescent="0.35">
      <c r="A165" s="36"/>
      <c r="B165" s="36"/>
      <c r="C165" s="37"/>
      <c r="D165" s="38"/>
      <c r="E165" s="37"/>
      <c r="F165" s="41"/>
      <c r="G165" s="41"/>
      <c r="H165" s="41"/>
    </row>
    <row r="166" spans="1:8" ht="17.399999999999999" x14ac:dyDescent="0.35">
      <c r="A166" s="36"/>
      <c r="B166" s="36"/>
      <c r="C166" s="37"/>
      <c r="D166" s="38"/>
      <c r="E166" s="37"/>
      <c r="F166" s="41"/>
      <c r="G166" s="41"/>
      <c r="H166" s="41"/>
    </row>
    <row r="167" spans="1:8" ht="17.399999999999999" x14ac:dyDescent="0.35">
      <c r="A167" s="36"/>
      <c r="B167" s="36"/>
      <c r="C167" s="37"/>
      <c r="D167" s="38"/>
      <c r="E167" s="37"/>
      <c r="F167" s="41"/>
      <c r="G167" s="41"/>
      <c r="H167" s="41"/>
    </row>
    <row r="168" spans="1:8" ht="17.399999999999999" x14ac:dyDescent="0.35">
      <c r="A168" s="36"/>
      <c r="B168" s="36"/>
      <c r="C168" s="37"/>
      <c r="D168" s="38"/>
      <c r="E168" s="37"/>
      <c r="F168" s="41"/>
      <c r="G168" s="41"/>
      <c r="H168" s="41"/>
    </row>
    <row r="169" spans="1:8" ht="17.399999999999999" x14ac:dyDescent="0.35">
      <c r="A169" s="36"/>
      <c r="B169" s="36"/>
      <c r="C169" s="37"/>
      <c r="D169" s="38"/>
      <c r="E169" s="37"/>
      <c r="F169" s="41"/>
      <c r="G169" s="41"/>
      <c r="H169" s="41"/>
    </row>
    <row r="170" spans="1:8" ht="17.399999999999999" x14ac:dyDescent="0.35">
      <c r="A170" s="36"/>
      <c r="B170" s="36"/>
      <c r="C170" s="37"/>
      <c r="D170" s="38"/>
      <c r="E170" s="37"/>
      <c r="F170" s="41"/>
      <c r="G170" s="41"/>
      <c r="H170" s="41"/>
    </row>
    <row r="171" spans="1:8" ht="17.399999999999999" x14ac:dyDescent="0.35">
      <c r="A171" s="36"/>
      <c r="B171" s="36"/>
      <c r="C171" s="37"/>
      <c r="D171" s="38"/>
      <c r="E171" s="37"/>
      <c r="F171" s="41"/>
      <c r="G171" s="41"/>
      <c r="H171" s="41"/>
    </row>
    <row r="172" spans="1:8" ht="17.399999999999999" x14ac:dyDescent="0.35">
      <c r="A172" s="36"/>
      <c r="B172" s="36"/>
      <c r="C172" s="37"/>
      <c r="D172" s="38"/>
      <c r="E172" s="37"/>
      <c r="F172" s="41"/>
      <c r="G172" s="41"/>
      <c r="H172" s="41"/>
    </row>
    <row r="173" spans="1:8" ht="17.399999999999999" x14ac:dyDescent="0.35">
      <c r="A173" s="36"/>
      <c r="B173" s="36"/>
      <c r="C173" s="37"/>
      <c r="D173" s="38"/>
      <c r="E173" s="37"/>
      <c r="F173" s="41"/>
      <c r="G173" s="41"/>
      <c r="H173" s="41"/>
    </row>
    <row r="174" spans="1:8" ht="17.399999999999999" x14ac:dyDescent="0.35">
      <c r="A174" s="36"/>
      <c r="B174" s="36"/>
      <c r="C174" s="37"/>
      <c r="D174" s="38"/>
      <c r="E174" s="37"/>
      <c r="F174" s="41"/>
      <c r="G174" s="41"/>
      <c r="H174" s="41"/>
    </row>
    <row r="175" spans="1:8" ht="17.399999999999999" x14ac:dyDescent="0.35">
      <c r="A175" s="36"/>
      <c r="B175" s="36"/>
      <c r="C175" s="37"/>
      <c r="D175" s="38"/>
      <c r="E175" s="37"/>
      <c r="F175" s="41"/>
      <c r="G175" s="41"/>
      <c r="H175" s="41"/>
    </row>
    <row r="176" spans="1:8" ht="17.399999999999999" x14ac:dyDescent="0.35">
      <c r="A176" s="36"/>
      <c r="B176" s="36"/>
      <c r="C176" s="37"/>
      <c r="D176" s="38"/>
      <c r="E176" s="37"/>
      <c r="F176" s="41"/>
      <c r="G176" s="41"/>
      <c r="H176" s="41"/>
    </row>
    <row r="177" spans="1:8" ht="17.399999999999999" x14ac:dyDescent="0.35">
      <c r="A177" s="36"/>
      <c r="B177" s="36"/>
      <c r="C177" s="37"/>
      <c r="D177" s="38"/>
      <c r="E177" s="37"/>
      <c r="F177" s="41"/>
      <c r="G177" s="41"/>
      <c r="H177" s="41"/>
    </row>
    <row r="178" spans="1:8" ht="17.399999999999999" x14ac:dyDescent="0.35">
      <c r="A178" s="36"/>
      <c r="B178" s="36"/>
      <c r="C178" s="37"/>
      <c r="D178" s="38"/>
      <c r="E178" s="37"/>
      <c r="F178" s="41"/>
      <c r="G178" s="41"/>
      <c r="H178" s="41"/>
    </row>
    <row r="179" spans="1:8" ht="17.399999999999999" x14ac:dyDescent="0.35">
      <c r="A179" s="36"/>
      <c r="B179" s="36"/>
      <c r="C179" s="37"/>
      <c r="D179" s="38"/>
      <c r="E179" s="37"/>
      <c r="F179" s="41"/>
      <c r="G179" s="41"/>
      <c r="H179" s="41"/>
    </row>
    <row r="180" spans="1:8" ht="17.399999999999999" x14ac:dyDescent="0.35">
      <c r="A180" s="36"/>
      <c r="B180" s="36"/>
      <c r="C180" s="37"/>
      <c r="D180" s="38"/>
      <c r="E180" s="37"/>
      <c r="F180" s="41"/>
      <c r="G180" s="41"/>
      <c r="H180" s="41"/>
    </row>
    <row r="181" spans="1:8" ht="17.399999999999999" x14ac:dyDescent="0.35">
      <c r="A181" s="36"/>
      <c r="B181" s="36"/>
      <c r="C181" s="37"/>
      <c r="D181" s="38"/>
      <c r="E181" s="37"/>
      <c r="F181" s="41"/>
      <c r="G181" s="41"/>
      <c r="H181" s="41"/>
    </row>
    <row r="182" spans="1:8" ht="17.399999999999999" x14ac:dyDescent="0.35">
      <c r="A182" s="36"/>
      <c r="B182" s="36"/>
      <c r="C182" s="37"/>
      <c r="D182" s="38"/>
      <c r="E182" s="37"/>
      <c r="F182" s="41"/>
      <c r="G182" s="41"/>
      <c r="H182" s="41"/>
    </row>
    <row r="183" spans="1:8" ht="17.399999999999999" x14ac:dyDescent="0.35">
      <c r="A183" s="36"/>
      <c r="B183" s="36"/>
      <c r="C183" s="37"/>
      <c r="D183" s="38"/>
      <c r="E183" s="37"/>
      <c r="F183" s="41"/>
      <c r="G183" s="41"/>
      <c r="H183" s="41"/>
    </row>
    <row r="184" spans="1:8" ht="17.399999999999999" x14ac:dyDescent="0.35">
      <c r="A184" s="36"/>
      <c r="B184" s="36"/>
      <c r="C184" s="37"/>
      <c r="D184" s="38"/>
      <c r="E184" s="37"/>
      <c r="F184" s="41"/>
      <c r="G184" s="41"/>
      <c r="H184" s="41"/>
    </row>
    <row r="185" spans="1:8" ht="17.399999999999999" x14ac:dyDescent="0.35">
      <c r="A185" s="36"/>
      <c r="B185" s="36"/>
      <c r="C185" s="37"/>
      <c r="D185" s="38"/>
      <c r="E185" s="37"/>
      <c r="F185" s="41"/>
      <c r="G185" s="41"/>
      <c r="H185" s="41"/>
    </row>
    <row r="186" spans="1:8" ht="17.399999999999999" x14ac:dyDescent="0.35">
      <c r="A186" s="36"/>
      <c r="B186" s="36"/>
      <c r="C186" s="37"/>
      <c r="D186" s="38"/>
      <c r="E186" s="37"/>
      <c r="F186" s="41"/>
      <c r="G186" s="41"/>
      <c r="H186" s="41"/>
    </row>
    <row r="187" spans="1:8" ht="17.399999999999999" x14ac:dyDescent="0.35">
      <c r="A187" s="36"/>
      <c r="B187" s="36"/>
      <c r="C187" s="37"/>
      <c r="D187" s="38"/>
      <c r="E187" s="37"/>
      <c r="F187" s="41"/>
      <c r="G187" s="41"/>
      <c r="H187" s="41"/>
    </row>
    <row r="188" spans="1:8" ht="17.399999999999999" x14ac:dyDescent="0.35">
      <c r="A188" s="36"/>
      <c r="B188" s="36"/>
      <c r="C188" s="37"/>
      <c r="D188" s="38"/>
      <c r="E188" s="37"/>
      <c r="F188" s="41"/>
      <c r="G188" s="41"/>
      <c r="H188" s="41"/>
    </row>
    <row r="189" spans="1:8" ht="17.399999999999999" x14ac:dyDescent="0.35">
      <c r="A189" s="36"/>
      <c r="B189" s="36"/>
      <c r="C189" s="37"/>
      <c r="D189" s="38"/>
      <c r="E189" s="37"/>
      <c r="F189" s="41"/>
      <c r="G189" s="41"/>
      <c r="H189" s="41"/>
    </row>
    <row r="190" spans="1:8" ht="17.399999999999999" x14ac:dyDescent="0.35">
      <c r="A190" s="36"/>
      <c r="B190" s="36"/>
      <c r="C190" s="37"/>
      <c r="D190" s="38"/>
      <c r="E190" s="37"/>
      <c r="F190" s="41"/>
      <c r="G190" s="41"/>
      <c r="H190" s="41"/>
    </row>
    <row r="191" spans="1:8" ht="17.399999999999999" x14ac:dyDescent="0.35">
      <c r="A191" s="36"/>
      <c r="B191" s="36"/>
      <c r="C191" s="37"/>
      <c r="D191" s="38"/>
      <c r="E191" s="37"/>
      <c r="F191" s="41"/>
      <c r="G191" s="41"/>
      <c r="H191" s="41"/>
    </row>
    <row r="192" spans="1:8" ht="17.399999999999999" x14ac:dyDescent="0.35">
      <c r="A192" s="36"/>
      <c r="B192" s="36"/>
      <c r="C192" s="37"/>
      <c r="D192" s="38"/>
      <c r="E192" s="37"/>
      <c r="F192" s="41"/>
      <c r="G192" s="41"/>
      <c r="H192" s="41"/>
    </row>
    <row r="193" spans="1:8" ht="17.399999999999999" x14ac:dyDescent="0.35">
      <c r="A193" s="36"/>
      <c r="B193" s="36"/>
      <c r="C193" s="37"/>
      <c r="D193" s="38"/>
      <c r="E193" s="37"/>
      <c r="F193" s="41"/>
      <c r="G193" s="41"/>
      <c r="H193" s="41"/>
    </row>
    <row r="194" spans="1:8" ht="17.399999999999999" x14ac:dyDescent="0.35">
      <c r="A194" s="36"/>
      <c r="B194" s="36"/>
      <c r="C194" s="37"/>
      <c r="D194" s="38"/>
      <c r="E194" s="37"/>
      <c r="F194" s="41"/>
      <c r="G194" s="41"/>
      <c r="H194" s="41"/>
    </row>
    <row r="195" spans="1:8" ht="17.399999999999999" x14ac:dyDescent="0.35">
      <c r="A195" s="36"/>
      <c r="B195" s="36"/>
      <c r="C195" s="37"/>
      <c r="D195" s="38"/>
      <c r="E195" s="37"/>
      <c r="F195" s="41"/>
      <c r="G195" s="41"/>
      <c r="H195" s="41"/>
    </row>
    <row r="196" spans="1:8" ht="17.399999999999999" x14ac:dyDescent="0.35">
      <c r="A196" s="36"/>
      <c r="B196" s="36"/>
      <c r="C196" s="37"/>
      <c r="D196" s="38"/>
      <c r="E196" s="37"/>
      <c r="F196" s="41"/>
      <c r="G196" s="41"/>
      <c r="H196" s="41"/>
    </row>
    <row r="197" spans="1:8" ht="17.399999999999999" x14ac:dyDescent="0.35">
      <c r="A197" s="36"/>
      <c r="B197" s="36"/>
      <c r="C197" s="37"/>
      <c r="D197" s="38"/>
      <c r="E197" s="37"/>
      <c r="F197" s="41"/>
      <c r="G197" s="41"/>
      <c r="H197" s="41"/>
    </row>
    <row r="198" spans="1:8" ht="17.399999999999999" x14ac:dyDescent="0.35">
      <c r="A198" s="36"/>
      <c r="B198" s="36"/>
      <c r="C198" s="37"/>
      <c r="D198" s="38"/>
      <c r="E198" s="37"/>
      <c r="F198" s="41"/>
      <c r="G198" s="41"/>
      <c r="H198" s="41"/>
    </row>
    <row r="199" spans="1:8" ht="17.399999999999999" x14ac:dyDescent="0.35">
      <c r="A199" s="36"/>
      <c r="B199" s="36"/>
      <c r="C199" s="37"/>
      <c r="D199" s="38"/>
      <c r="E199" s="37"/>
      <c r="F199" s="41"/>
      <c r="G199" s="41"/>
      <c r="H199" s="41"/>
    </row>
    <row r="200" spans="1:8" ht="17.399999999999999" x14ac:dyDescent="0.35">
      <c r="A200" s="36"/>
      <c r="B200" s="36"/>
      <c r="C200" s="37"/>
      <c r="D200" s="38"/>
      <c r="E200" s="37"/>
      <c r="F200" s="41"/>
      <c r="G200" s="41"/>
      <c r="H200" s="41"/>
    </row>
    <row r="201" spans="1:8" ht="17.399999999999999" x14ac:dyDescent="0.35">
      <c r="A201" s="36"/>
      <c r="B201" s="36"/>
      <c r="C201" s="37"/>
      <c r="D201" s="38"/>
      <c r="E201" s="37"/>
      <c r="F201" s="41"/>
      <c r="G201" s="41"/>
      <c r="H201" s="41"/>
    </row>
    <row r="202" spans="1:8" ht="17.399999999999999" x14ac:dyDescent="0.35">
      <c r="A202" s="36"/>
      <c r="B202" s="36"/>
      <c r="C202" s="37"/>
      <c r="D202" s="38"/>
      <c r="E202" s="37"/>
      <c r="F202" s="41"/>
      <c r="G202" s="41"/>
      <c r="H202" s="41"/>
    </row>
    <row r="203" spans="1:8" ht="17.399999999999999" x14ac:dyDescent="0.35">
      <c r="A203" s="36"/>
      <c r="B203" s="36"/>
      <c r="C203" s="37"/>
      <c r="D203" s="38"/>
      <c r="E203" s="37"/>
      <c r="F203" s="41"/>
      <c r="G203" s="41"/>
      <c r="H203" s="41"/>
    </row>
    <row r="204" spans="1:8" ht="17.399999999999999" x14ac:dyDescent="0.35">
      <c r="A204" s="36"/>
      <c r="B204" s="36"/>
      <c r="C204" s="37"/>
      <c r="D204" s="38"/>
      <c r="E204" s="37"/>
      <c r="F204" s="41"/>
      <c r="G204" s="41"/>
      <c r="H204" s="41"/>
    </row>
    <row r="205" spans="1:8" ht="17.399999999999999" x14ac:dyDescent="0.35">
      <c r="A205" s="36"/>
      <c r="B205" s="36"/>
      <c r="C205" s="37"/>
      <c r="D205" s="38"/>
      <c r="E205" s="37"/>
      <c r="F205" s="41"/>
      <c r="G205" s="41"/>
      <c r="H205" s="41"/>
    </row>
    <row r="206" spans="1:8" ht="17.399999999999999" x14ac:dyDescent="0.35">
      <c r="A206" s="36"/>
      <c r="B206" s="36"/>
      <c r="C206" s="37"/>
      <c r="D206" s="38"/>
      <c r="E206" s="37"/>
      <c r="F206" s="41"/>
      <c r="G206" s="41"/>
      <c r="H206" s="41"/>
    </row>
    <row r="207" spans="1:8" ht="17.399999999999999" x14ac:dyDescent="0.35">
      <c r="A207" s="36"/>
      <c r="B207" s="36"/>
      <c r="C207" s="37"/>
      <c r="D207" s="38"/>
      <c r="E207" s="37"/>
      <c r="F207" s="41"/>
      <c r="G207" s="41"/>
      <c r="H207" s="41"/>
    </row>
    <row r="208" spans="1:8" ht="17.399999999999999" x14ac:dyDescent="0.35">
      <c r="A208" s="36"/>
      <c r="B208" s="36"/>
      <c r="C208" s="37"/>
      <c r="D208" s="38"/>
      <c r="E208" s="37"/>
      <c r="F208" s="41"/>
      <c r="G208" s="41"/>
      <c r="H208" s="41"/>
    </row>
    <row r="209" spans="1:8" ht="17.399999999999999" x14ac:dyDescent="0.35">
      <c r="A209" s="36"/>
      <c r="B209" s="36"/>
      <c r="C209" s="37"/>
      <c r="D209" s="38"/>
      <c r="E209" s="37"/>
      <c r="F209" s="41"/>
      <c r="G209" s="41"/>
      <c r="H209" s="41"/>
    </row>
    <row r="210" spans="1:8" ht="17.399999999999999" x14ac:dyDescent="0.35">
      <c r="A210" s="36"/>
      <c r="B210" s="36"/>
      <c r="C210" s="37"/>
      <c r="D210" s="38"/>
      <c r="E210" s="37"/>
      <c r="F210" s="41"/>
      <c r="G210" s="41"/>
      <c r="H210" s="41"/>
    </row>
    <row r="211" spans="1:8" ht="17.399999999999999" x14ac:dyDescent="0.35">
      <c r="A211" s="36"/>
      <c r="B211" s="36"/>
      <c r="C211" s="37"/>
      <c r="D211" s="38"/>
      <c r="E211" s="37"/>
      <c r="F211" s="41"/>
      <c r="G211" s="41"/>
      <c r="H211" s="41"/>
    </row>
    <row r="212" spans="1:8" ht="17.399999999999999" x14ac:dyDescent="0.35">
      <c r="A212" s="36"/>
      <c r="B212" s="36"/>
      <c r="C212" s="37"/>
      <c r="D212" s="38"/>
      <c r="E212" s="37"/>
      <c r="F212" s="41"/>
      <c r="G212" s="41"/>
      <c r="H212" s="41"/>
    </row>
    <row r="213" spans="1:8" ht="17.399999999999999" x14ac:dyDescent="0.35">
      <c r="A213" s="36"/>
      <c r="B213" s="36"/>
      <c r="C213" s="37"/>
      <c r="D213" s="38"/>
      <c r="E213" s="37"/>
      <c r="F213" s="41"/>
      <c r="G213" s="41"/>
      <c r="H213" s="41"/>
    </row>
    <row r="214" spans="1:8" ht="17.399999999999999" x14ac:dyDescent="0.35">
      <c r="A214" s="36"/>
      <c r="B214" s="36"/>
      <c r="C214" s="37"/>
      <c r="D214" s="38"/>
      <c r="E214" s="37"/>
      <c r="F214" s="41"/>
      <c r="G214" s="41"/>
      <c r="H214" s="41"/>
    </row>
    <row r="215" spans="1:8" ht="17.399999999999999" x14ac:dyDescent="0.35">
      <c r="A215" s="36"/>
      <c r="B215" s="36"/>
      <c r="C215" s="37"/>
      <c r="D215" s="38"/>
      <c r="E215" s="37"/>
      <c r="F215" s="41"/>
      <c r="G215" s="41"/>
      <c r="H215" s="41"/>
    </row>
    <row r="216" spans="1:8" ht="17.399999999999999" x14ac:dyDescent="0.35">
      <c r="A216" s="36"/>
      <c r="B216" s="36"/>
      <c r="C216" s="37"/>
      <c r="D216" s="38"/>
      <c r="E216" s="37"/>
      <c r="F216" s="41"/>
      <c r="G216" s="41"/>
      <c r="H216" s="41"/>
    </row>
    <row r="217" spans="1:8" ht="17.399999999999999" x14ac:dyDescent="0.35">
      <c r="A217" s="36"/>
      <c r="B217" s="36"/>
      <c r="C217" s="37"/>
      <c r="D217" s="38"/>
      <c r="E217" s="37"/>
      <c r="F217" s="41"/>
      <c r="G217" s="41"/>
      <c r="H217" s="41"/>
    </row>
    <row r="218" spans="1:8" ht="17.399999999999999" x14ac:dyDescent="0.35">
      <c r="A218" s="36"/>
      <c r="B218" s="36"/>
      <c r="C218" s="37"/>
      <c r="D218" s="38"/>
      <c r="E218" s="37"/>
      <c r="F218" s="41"/>
      <c r="G218" s="41"/>
      <c r="H218" s="41"/>
    </row>
    <row r="219" spans="1:8" ht="17.399999999999999" x14ac:dyDescent="0.35">
      <c r="A219" s="36"/>
      <c r="B219" s="36"/>
      <c r="C219" s="37"/>
      <c r="D219" s="38"/>
      <c r="E219" s="37"/>
      <c r="F219" s="41"/>
      <c r="G219" s="41"/>
      <c r="H219" s="41"/>
    </row>
    <row r="220" spans="1:8" ht="17.399999999999999" x14ac:dyDescent="0.35">
      <c r="A220" s="36"/>
      <c r="B220" s="36"/>
      <c r="C220" s="37"/>
      <c r="D220" s="38"/>
      <c r="E220" s="37"/>
      <c r="F220" s="41"/>
      <c r="G220" s="41"/>
      <c r="H220" s="41"/>
    </row>
    <row r="221" spans="1:8" ht="17.399999999999999" x14ac:dyDescent="0.35">
      <c r="A221" s="36"/>
      <c r="B221" s="36"/>
      <c r="C221" s="37"/>
      <c r="D221" s="38"/>
      <c r="E221" s="37"/>
      <c r="F221" s="41"/>
      <c r="G221" s="41"/>
      <c r="H221" s="41"/>
    </row>
    <row r="222" spans="1:8" ht="17.399999999999999" x14ac:dyDescent="0.35">
      <c r="A222" s="36"/>
      <c r="B222" s="36"/>
      <c r="C222" s="37"/>
      <c r="D222" s="38"/>
      <c r="E222" s="37"/>
      <c r="F222" s="41"/>
      <c r="G222" s="41"/>
      <c r="H222" s="41"/>
    </row>
    <row r="223" spans="1:8" ht="17.399999999999999" x14ac:dyDescent="0.35">
      <c r="A223" s="36"/>
      <c r="B223" s="36"/>
      <c r="C223" s="37"/>
      <c r="D223" s="38"/>
      <c r="E223" s="37"/>
      <c r="F223" s="41"/>
      <c r="G223" s="41"/>
      <c r="H223" s="41"/>
    </row>
    <row r="224" spans="1:8" ht="17.399999999999999" x14ac:dyDescent="0.35">
      <c r="A224" s="36"/>
      <c r="B224" s="36"/>
      <c r="C224" s="37"/>
      <c r="D224" s="38"/>
      <c r="E224" s="37"/>
      <c r="F224" s="41"/>
      <c r="G224" s="41"/>
      <c r="H224" s="41"/>
    </row>
    <row r="225" spans="1:8" ht="17.399999999999999" x14ac:dyDescent="0.35">
      <c r="A225" s="36"/>
      <c r="B225" s="36"/>
      <c r="C225" s="37"/>
      <c r="D225" s="38"/>
      <c r="E225" s="37"/>
      <c r="F225" s="41"/>
      <c r="G225" s="41"/>
      <c r="H225" s="41"/>
    </row>
    <row r="226" spans="1:8" ht="17.399999999999999" x14ac:dyDescent="0.35">
      <c r="A226" s="36"/>
      <c r="B226" s="36"/>
      <c r="C226" s="37"/>
      <c r="D226" s="38"/>
      <c r="E226" s="37"/>
      <c r="F226" s="41"/>
      <c r="G226" s="41"/>
      <c r="H226" s="41"/>
    </row>
    <row r="227" spans="1:8" ht="17.399999999999999" x14ac:dyDescent="0.35">
      <c r="A227" s="36"/>
      <c r="B227" s="36"/>
      <c r="C227" s="37"/>
      <c r="D227" s="38"/>
      <c r="E227" s="37"/>
      <c r="F227" s="41"/>
      <c r="G227" s="41"/>
      <c r="H227" s="41"/>
    </row>
    <row r="228" spans="1:8" ht="17.399999999999999" x14ac:dyDescent="0.35">
      <c r="A228" s="36"/>
      <c r="B228" s="36"/>
      <c r="C228" s="37"/>
      <c r="D228" s="38"/>
      <c r="E228" s="37"/>
      <c r="F228" s="41"/>
      <c r="G228" s="41"/>
      <c r="H228" s="41"/>
    </row>
    <row r="229" spans="1:8" ht="17.399999999999999" x14ac:dyDescent="0.35">
      <c r="A229" s="36"/>
      <c r="B229" s="36"/>
      <c r="C229" s="37"/>
      <c r="D229" s="38"/>
      <c r="E229" s="37"/>
      <c r="F229" s="41"/>
      <c r="G229" s="41"/>
      <c r="H229" s="41"/>
    </row>
    <row r="230" spans="1:8" ht="17.399999999999999" x14ac:dyDescent="0.35">
      <c r="A230" s="36"/>
      <c r="B230" s="36"/>
      <c r="C230" s="37"/>
      <c r="D230" s="38"/>
      <c r="E230" s="37"/>
      <c r="F230" s="41"/>
      <c r="G230" s="41"/>
      <c r="H230" s="41"/>
    </row>
    <row r="231" spans="1:8" ht="17.399999999999999" x14ac:dyDescent="0.35">
      <c r="A231" s="36"/>
      <c r="B231" s="36"/>
      <c r="C231" s="37"/>
      <c r="D231" s="38"/>
      <c r="E231" s="37"/>
      <c r="F231" s="41"/>
      <c r="G231" s="41"/>
      <c r="H231" s="41"/>
    </row>
    <row r="232" spans="1:8" ht="17.399999999999999" x14ac:dyDescent="0.35">
      <c r="A232" s="36"/>
      <c r="B232" s="36"/>
      <c r="C232" s="37"/>
      <c r="D232" s="38"/>
      <c r="E232" s="37"/>
      <c r="F232" s="41"/>
      <c r="G232" s="41"/>
      <c r="H232" s="41"/>
    </row>
    <row r="233" spans="1:8" ht="17.399999999999999" x14ac:dyDescent="0.35">
      <c r="A233" s="36"/>
      <c r="B233" s="36"/>
      <c r="C233" s="37"/>
      <c r="D233" s="38"/>
      <c r="E233" s="37"/>
      <c r="F233" s="41"/>
      <c r="G233" s="41"/>
      <c r="H233" s="41"/>
    </row>
    <row r="234" spans="1:8" ht="17.399999999999999" x14ac:dyDescent="0.35">
      <c r="A234" s="36"/>
      <c r="B234" s="36"/>
      <c r="C234" s="37"/>
      <c r="D234" s="38"/>
      <c r="E234" s="37"/>
      <c r="F234" s="41"/>
      <c r="G234" s="41"/>
      <c r="H234" s="41"/>
    </row>
    <row r="235" spans="1:8" ht="17.399999999999999" x14ac:dyDescent="0.35">
      <c r="A235" s="36"/>
      <c r="B235" s="36"/>
      <c r="C235" s="37"/>
      <c r="D235" s="38"/>
      <c r="E235" s="37"/>
      <c r="F235" s="41"/>
      <c r="G235" s="41"/>
      <c r="H235" s="41"/>
    </row>
    <row r="236" spans="1:8" ht="17.399999999999999" x14ac:dyDescent="0.35">
      <c r="A236" s="36"/>
      <c r="B236" s="36"/>
      <c r="C236" s="37"/>
      <c r="D236" s="38"/>
      <c r="E236" s="37"/>
      <c r="F236" s="41"/>
      <c r="G236" s="41"/>
      <c r="H236" s="41"/>
    </row>
    <row r="237" spans="1:8" ht="17.399999999999999" x14ac:dyDescent="0.35">
      <c r="A237" s="36"/>
      <c r="B237" s="36"/>
      <c r="C237" s="37"/>
      <c r="D237" s="38"/>
      <c r="E237" s="37"/>
      <c r="F237" s="41"/>
      <c r="G237" s="41"/>
      <c r="H237" s="41"/>
    </row>
    <row r="238" spans="1:8" ht="17.399999999999999" x14ac:dyDescent="0.35">
      <c r="A238" s="36"/>
      <c r="B238" s="36"/>
      <c r="C238" s="37"/>
      <c r="D238" s="38"/>
      <c r="E238" s="37"/>
      <c r="F238" s="41"/>
      <c r="G238" s="41"/>
      <c r="H238" s="41"/>
    </row>
    <row r="239" spans="1:8" ht="17.399999999999999" x14ac:dyDescent="0.35">
      <c r="A239" s="36"/>
      <c r="B239" s="36"/>
      <c r="C239" s="37"/>
      <c r="D239" s="38"/>
      <c r="E239" s="37"/>
      <c r="F239" s="41"/>
      <c r="G239" s="41"/>
      <c r="H239" s="41"/>
    </row>
    <row r="240" spans="1:8" ht="17.399999999999999" x14ac:dyDescent="0.35">
      <c r="A240" s="36"/>
      <c r="B240" s="36"/>
      <c r="C240" s="37"/>
      <c r="D240" s="38"/>
      <c r="E240" s="37"/>
      <c r="F240" s="41"/>
      <c r="G240" s="41"/>
      <c r="H240" s="41"/>
    </row>
    <row r="241" spans="1:8" ht="17.399999999999999" x14ac:dyDescent="0.35">
      <c r="A241" s="36"/>
      <c r="B241" s="36"/>
      <c r="C241" s="37"/>
      <c r="D241" s="38"/>
      <c r="E241" s="37"/>
      <c r="F241" s="41"/>
      <c r="G241" s="41"/>
      <c r="H241" s="41"/>
    </row>
    <row r="242" spans="1:8" ht="17.399999999999999" x14ac:dyDescent="0.35">
      <c r="A242" s="36"/>
      <c r="B242" s="36"/>
      <c r="C242" s="37"/>
      <c r="D242" s="38"/>
      <c r="E242" s="37"/>
      <c r="F242" s="41"/>
      <c r="G242" s="41"/>
      <c r="H242" s="41"/>
    </row>
    <row r="243" spans="1:8" ht="17.399999999999999" x14ac:dyDescent="0.35">
      <c r="A243" s="36"/>
      <c r="B243" s="36"/>
      <c r="C243" s="37"/>
      <c r="D243" s="38"/>
      <c r="E243" s="37"/>
      <c r="F243" s="41"/>
      <c r="G243" s="41"/>
      <c r="H243" s="41"/>
    </row>
    <row r="244" spans="1:8" ht="17.399999999999999" x14ac:dyDescent="0.35">
      <c r="A244" s="36"/>
      <c r="B244" s="36"/>
      <c r="C244" s="37"/>
      <c r="D244" s="38"/>
      <c r="E244" s="37"/>
      <c r="F244" s="41"/>
      <c r="G244" s="41"/>
      <c r="H244" s="41"/>
    </row>
    <row r="245" spans="1:8" ht="17.399999999999999" x14ac:dyDescent="0.35">
      <c r="A245" s="36"/>
      <c r="B245" s="36"/>
      <c r="C245" s="37"/>
      <c r="D245" s="38"/>
      <c r="E245" s="37"/>
      <c r="F245" s="41"/>
      <c r="G245" s="41"/>
      <c r="H245" s="41"/>
    </row>
    <row r="246" spans="1:8" ht="17.399999999999999" x14ac:dyDescent="0.35">
      <c r="A246" s="36"/>
      <c r="B246" s="36"/>
      <c r="C246" s="37"/>
      <c r="D246" s="38"/>
      <c r="E246" s="37"/>
      <c r="F246" s="41"/>
      <c r="G246" s="41"/>
      <c r="H246" s="41"/>
    </row>
    <row r="247" spans="1:8" ht="17.399999999999999" x14ac:dyDescent="0.35">
      <c r="A247" s="36"/>
      <c r="B247" s="36"/>
      <c r="C247" s="37"/>
      <c r="D247" s="38"/>
      <c r="E247" s="37"/>
      <c r="F247" s="41"/>
      <c r="G247" s="41"/>
      <c r="H247" s="41"/>
    </row>
    <row r="248" spans="1:8" ht="17.399999999999999" x14ac:dyDescent="0.35">
      <c r="A248" s="36"/>
      <c r="B248" s="36"/>
      <c r="C248" s="37"/>
      <c r="D248" s="38"/>
      <c r="E248" s="37"/>
      <c r="F248" s="41"/>
      <c r="G248" s="41"/>
      <c r="H248" s="41"/>
    </row>
    <row r="249" spans="1:8" ht="17.399999999999999" x14ac:dyDescent="0.35">
      <c r="A249" s="36"/>
      <c r="B249" s="36"/>
      <c r="C249" s="37"/>
      <c r="D249" s="38"/>
      <c r="E249" s="37"/>
      <c r="F249" s="41"/>
      <c r="G249" s="41"/>
      <c r="H249" s="41"/>
    </row>
    <row r="250" spans="1:8" ht="17.399999999999999" x14ac:dyDescent="0.35">
      <c r="A250" s="36"/>
      <c r="B250" s="36"/>
      <c r="C250" s="37"/>
      <c r="D250" s="38"/>
      <c r="E250" s="37"/>
      <c r="F250" s="41"/>
      <c r="G250" s="41"/>
      <c r="H250" s="41"/>
    </row>
    <row r="251" spans="1:8" ht="17.399999999999999" x14ac:dyDescent="0.35">
      <c r="A251" s="36"/>
      <c r="B251" s="36"/>
      <c r="C251" s="37"/>
      <c r="D251" s="38"/>
      <c r="E251" s="37"/>
      <c r="F251" s="41"/>
      <c r="G251" s="41"/>
      <c r="H251" s="41"/>
    </row>
    <row r="252" spans="1:8" ht="17.399999999999999" x14ac:dyDescent="0.35">
      <c r="A252" s="36"/>
      <c r="B252" s="36"/>
      <c r="C252" s="37"/>
      <c r="D252" s="38"/>
      <c r="E252" s="37"/>
      <c r="F252" s="41"/>
      <c r="G252" s="41"/>
      <c r="H252" s="41"/>
    </row>
    <row r="253" spans="1:8" ht="17.399999999999999" x14ac:dyDescent="0.35">
      <c r="A253" s="36"/>
      <c r="B253" s="36"/>
      <c r="C253" s="37"/>
      <c r="D253" s="38"/>
      <c r="E253" s="37"/>
      <c r="F253" s="41"/>
      <c r="G253" s="41"/>
      <c r="H253" s="41"/>
    </row>
    <row r="254" spans="1:8" ht="17.399999999999999" x14ac:dyDescent="0.35">
      <c r="A254" s="36"/>
      <c r="B254" s="36"/>
      <c r="C254" s="37"/>
      <c r="D254" s="38"/>
      <c r="E254" s="37"/>
      <c r="F254" s="41"/>
      <c r="G254" s="41"/>
      <c r="H254" s="41"/>
    </row>
    <row r="255" spans="1:8" ht="17.399999999999999" x14ac:dyDescent="0.35">
      <c r="A255" s="36"/>
      <c r="B255" s="36"/>
      <c r="C255" s="37"/>
      <c r="D255" s="38"/>
      <c r="E255" s="37"/>
      <c r="F255" s="41"/>
      <c r="G255" s="41"/>
      <c r="H255" s="41"/>
    </row>
    <row r="256" spans="1:8" ht="17.399999999999999" x14ac:dyDescent="0.35">
      <c r="A256" s="36"/>
      <c r="B256" s="36"/>
      <c r="C256" s="37"/>
      <c r="D256" s="38"/>
      <c r="E256" s="37"/>
      <c r="F256" s="41"/>
      <c r="G256" s="41"/>
      <c r="H256" s="41"/>
    </row>
    <row r="257" spans="1:8" ht="17.399999999999999" x14ac:dyDescent="0.35">
      <c r="A257" s="36"/>
      <c r="B257" s="36"/>
      <c r="C257" s="37"/>
      <c r="D257" s="38"/>
      <c r="E257" s="37"/>
      <c r="F257" s="41"/>
      <c r="G257" s="41"/>
      <c r="H257" s="41"/>
    </row>
    <row r="258" spans="1:8" ht="17.399999999999999" x14ac:dyDescent="0.35">
      <c r="A258" s="36"/>
      <c r="B258" s="36"/>
      <c r="C258" s="37"/>
      <c r="D258" s="38"/>
      <c r="E258" s="37"/>
      <c r="F258" s="41"/>
      <c r="G258" s="41"/>
      <c r="H258" s="41"/>
    </row>
    <row r="259" spans="1:8" ht="17.399999999999999" x14ac:dyDescent="0.35">
      <c r="A259" s="36"/>
      <c r="B259" s="36"/>
      <c r="C259" s="37"/>
      <c r="D259" s="38"/>
      <c r="E259" s="37"/>
      <c r="F259" s="41"/>
      <c r="G259" s="41"/>
      <c r="H259" s="41"/>
    </row>
    <row r="260" spans="1:8" ht="17.399999999999999" x14ac:dyDescent="0.35">
      <c r="A260" s="36"/>
      <c r="B260" s="36"/>
      <c r="C260" s="37"/>
      <c r="D260" s="38"/>
      <c r="E260" s="37"/>
      <c r="F260" s="41"/>
      <c r="G260" s="41"/>
      <c r="H260" s="41"/>
    </row>
    <row r="261" spans="1:8" ht="17.399999999999999" x14ac:dyDescent="0.35">
      <c r="A261" s="36"/>
      <c r="B261" s="36"/>
      <c r="C261" s="37"/>
      <c r="D261" s="38"/>
      <c r="E261" s="37"/>
      <c r="F261" s="41"/>
      <c r="G261" s="41"/>
      <c r="H261" s="41"/>
    </row>
    <row r="262" spans="1:8" ht="17.399999999999999" x14ac:dyDescent="0.35">
      <c r="A262" s="36"/>
      <c r="B262" s="36"/>
      <c r="C262" s="37"/>
      <c r="D262" s="38"/>
      <c r="E262" s="37"/>
      <c r="F262" s="41"/>
      <c r="G262" s="41"/>
      <c r="H262" s="41"/>
    </row>
    <row r="263" spans="1:8" ht="17.399999999999999" x14ac:dyDescent="0.35">
      <c r="A263" s="36"/>
      <c r="B263" s="36"/>
      <c r="C263" s="37"/>
      <c r="D263" s="38"/>
      <c r="E263" s="37"/>
      <c r="F263" s="41"/>
      <c r="G263" s="41"/>
      <c r="H263" s="41"/>
    </row>
    <row r="264" spans="1:8" ht="17.399999999999999" x14ac:dyDescent="0.35">
      <c r="A264" s="36"/>
      <c r="B264" s="36"/>
      <c r="C264" s="37"/>
      <c r="D264" s="38"/>
      <c r="E264" s="37"/>
      <c r="F264" s="41"/>
      <c r="G264" s="41"/>
      <c r="H264" s="41"/>
    </row>
    <row r="265" spans="1:8" ht="17.399999999999999" x14ac:dyDescent="0.35">
      <c r="A265" s="36"/>
      <c r="B265" s="36"/>
      <c r="C265" s="37"/>
      <c r="D265" s="38"/>
      <c r="E265" s="37"/>
      <c r="F265" s="41"/>
      <c r="G265" s="41"/>
      <c r="H265" s="41"/>
    </row>
    <row r="266" spans="1:8" ht="17.399999999999999" x14ac:dyDescent="0.35">
      <c r="A266" s="36"/>
      <c r="B266" s="36"/>
      <c r="C266" s="37"/>
      <c r="D266" s="38"/>
      <c r="E266" s="37"/>
      <c r="F266" s="41"/>
      <c r="G266" s="41"/>
      <c r="H266" s="41"/>
    </row>
    <row r="267" spans="1:8" ht="17.399999999999999" x14ac:dyDescent="0.35">
      <c r="A267" s="36"/>
      <c r="B267" s="36"/>
      <c r="C267" s="37"/>
      <c r="D267" s="38"/>
      <c r="E267" s="37"/>
      <c r="F267" s="41"/>
      <c r="G267" s="41"/>
      <c r="H267" s="41"/>
    </row>
    <row r="268" spans="1:8" ht="17.399999999999999" x14ac:dyDescent="0.35">
      <c r="A268" s="36"/>
      <c r="B268" s="36"/>
      <c r="C268" s="37"/>
      <c r="D268" s="38"/>
      <c r="E268" s="37"/>
      <c r="F268" s="41"/>
      <c r="G268" s="41"/>
      <c r="H268" s="41"/>
    </row>
    <row r="269" spans="1:8" ht="17.399999999999999" x14ac:dyDescent="0.35">
      <c r="A269" s="36"/>
      <c r="B269" s="36"/>
      <c r="C269" s="37"/>
      <c r="D269" s="38"/>
      <c r="E269" s="37"/>
      <c r="F269" s="41"/>
      <c r="G269" s="41"/>
      <c r="H269" s="41"/>
    </row>
    <row r="270" spans="1:8" ht="17.399999999999999" x14ac:dyDescent="0.35">
      <c r="A270" s="36"/>
      <c r="B270" s="36"/>
      <c r="C270" s="37"/>
      <c r="D270" s="38"/>
      <c r="E270" s="37"/>
      <c r="F270" s="41"/>
      <c r="G270" s="41"/>
      <c r="H270" s="41"/>
    </row>
    <row r="271" spans="1:8" ht="17.399999999999999" x14ac:dyDescent="0.35">
      <c r="A271" s="36"/>
      <c r="B271" s="36"/>
      <c r="C271" s="37"/>
      <c r="D271" s="38"/>
      <c r="E271" s="37"/>
      <c r="F271" s="41"/>
      <c r="G271" s="41"/>
      <c r="H271" s="41"/>
    </row>
    <row r="272" spans="1:8" ht="17.399999999999999" x14ac:dyDescent="0.35">
      <c r="A272" s="36"/>
      <c r="B272" s="36"/>
      <c r="C272" s="37"/>
      <c r="D272" s="38"/>
      <c r="E272" s="37"/>
      <c r="F272" s="41"/>
      <c r="G272" s="41"/>
      <c r="H272" s="41"/>
    </row>
    <row r="273" spans="1:8" ht="17.399999999999999" x14ac:dyDescent="0.35">
      <c r="A273" s="36"/>
      <c r="B273" s="36"/>
      <c r="C273" s="37"/>
      <c r="D273" s="38"/>
      <c r="E273" s="37"/>
      <c r="F273" s="41"/>
      <c r="G273" s="41"/>
      <c r="H273" s="41"/>
    </row>
    <row r="274" spans="1:8" ht="17.399999999999999" x14ac:dyDescent="0.35">
      <c r="A274" s="36"/>
      <c r="B274" s="36"/>
      <c r="C274" s="37"/>
      <c r="D274" s="38"/>
      <c r="E274" s="37"/>
      <c r="F274" s="41"/>
      <c r="G274" s="41"/>
      <c r="H274" s="41"/>
    </row>
    <row r="275" spans="1:8" ht="17.399999999999999" x14ac:dyDescent="0.35">
      <c r="A275" s="36"/>
      <c r="B275" s="36"/>
      <c r="C275" s="37"/>
      <c r="D275" s="38"/>
      <c r="E275" s="37"/>
      <c r="F275" s="41"/>
      <c r="G275" s="41"/>
      <c r="H275" s="41"/>
    </row>
    <row r="276" spans="1:8" ht="17.399999999999999" x14ac:dyDescent="0.35">
      <c r="A276" s="36"/>
      <c r="B276" s="36"/>
      <c r="C276" s="37"/>
      <c r="D276" s="38"/>
      <c r="E276" s="37"/>
      <c r="F276" s="41"/>
      <c r="G276" s="41"/>
      <c r="H276" s="41"/>
    </row>
    <row r="277" spans="1:8" ht="17.399999999999999" x14ac:dyDescent="0.35">
      <c r="A277" s="36"/>
      <c r="B277" s="36"/>
      <c r="C277" s="37"/>
      <c r="D277" s="38"/>
      <c r="E277" s="37"/>
      <c r="F277" s="41"/>
      <c r="G277" s="41"/>
      <c r="H277" s="41"/>
    </row>
    <row r="278" spans="1:8" ht="17.399999999999999" x14ac:dyDescent="0.35">
      <c r="A278" s="36"/>
      <c r="B278" s="36"/>
      <c r="C278" s="37"/>
      <c r="D278" s="38"/>
      <c r="E278" s="37"/>
      <c r="F278" s="41"/>
      <c r="G278" s="41"/>
      <c r="H278" s="41"/>
    </row>
    <row r="279" spans="1:8" ht="17.399999999999999" x14ac:dyDescent="0.35">
      <c r="A279" s="36"/>
      <c r="B279" s="36"/>
      <c r="C279" s="37"/>
      <c r="D279" s="38"/>
      <c r="E279" s="37"/>
      <c r="F279" s="41"/>
      <c r="G279" s="41"/>
      <c r="H279" s="41"/>
    </row>
    <row r="280" spans="1:8" ht="17.399999999999999" x14ac:dyDescent="0.35">
      <c r="A280" s="36"/>
      <c r="B280" s="36"/>
      <c r="C280" s="37"/>
      <c r="D280" s="38"/>
      <c r="E280" s="37"/>
      <c r="F280" s="41"/>
      <c r="G280" s="41"/>
      <c r="H280" s="41"/>
    </row>
    <row r="281" spans="1:8" ht="17.399999999999999" x14ac:dyDescent="0.35">
      <c r="A281" s="36"/>
      <c r="B281" s="36"/>
      <c r="C281" s="37"/>
      <c r="D281" s="38"/>
      <c r="E281" s="37"/>
      <c r="F281" s="41"/>
      <c r="G281" s="41"/>
      <c r="H281" s="41"/>
    </row>
    <row r="282" spans="1:8" ht="17.399999999999999" x14ac:dyDescent="0.35">
      <c r="A282" s="36"/>
      <c r="B282" s="36"/>
      <c r="C282" s="37"/>
      <c r="D282" s="38"/>
      <c r="E282" s="37"/>
      <c r="F282" s="41"/>
      <c r="G282" s="41"/>
      <c r="H282" s="41"/>
    </row>
    <row r="283" spans="1:8" ht="17.399999999999999" x14ac:dyDescent="0.35">
      <c r="A283" s="36"/>
      <c r="B283" s="36"/>
      <c r="C283" s="37"/>
      <c r="D283" s="38"/>
      <c r="E283" s="37"/>
      <c r="F283" s="41"/>
      <c r="G283" s="41"/>
      <c r="H283" s="41"/>
    </row>
    <row r="284" spans="1:8" ht="17.399999999999999" x14ac:dyDescent="0.35">
      <c r="A284" s="36"/>
      <c r="B284" s="36"/>
      <c r="C284" s="37"/>
      <c r="D284" s="38"/>
      <c r="E284" s="37"/>
      <c r="F284" s="41"/>
      <c r="G284" s="41"/>
      <c r="H284" s="41"/>
    </row>
    <row r="285" spans="1:8" ht="17.399999999999999" x14ac:dyDescent="0.35">
      <c r="A285" s="36"/>
      <c r="B285" s="36"/>
      <c r="C285" s="37"/>
      <c r="D285" s="38"/>
      <c r="E285" s="37"/>
      <c r="F285" s="41"/>
      <c r="G285" s="41"/>
      <c r="H285" s="41"/>
    </row>
    <row r="286" spans="1:8" ht="17.399999999999999" x14ac:dyDescent="0.35">
      <c r="A286" s="36"/>
      <c r="B286" s="36"/>
      <c r="C286" s="37"/>
      <c r="D286" s="38"/>
      <c r="E286" s="37"/>
      <c r="F286" s="41"/>
      <c r="G286" s="41"/>
      <c r="H286" s="41"/>
    </row>
    <row r="287" spans="1:8" ht="17.399999999999999" x14ac:dyDescent="0.35">
      <c r="A287" s="36"/>
      <c r="B287" s="36"/>
      <c r="C287" s="37"/>
      <c r="D287" s="38"/>
      <c r="E287" s="37"/>
      <c r="F287" s="41"/>
      <c r="G287" s="41"/>
      <c r="H287" s="41"/>
    </row>
    <row r="288" spans="1:8" ht="17.399999999999999" x14ac:dyDescent="0.35">
      <c r="A288" s="36"/>
      <c r="B288" s="36"/>
      <c r="C288" s="37"/>
      <c r="D288" s="38"/>
      <c r="E288" s="37"/>
      <c r="F288" s="41"/>
      <c r="G288" s="41"/>
      <c r="H288" s="41"/>
    </row>
    <row r="289" spans="1:8" ht="17.399999999999999" x14ac:dyDescent="0.35">
      <c r="A289" s="36"/>
      <c r="B289" s="36"/>
      <c r="C289" s="37"/>
      <c r="D289" s="38"/>
      <c r="E289" s="37"/>
      <c r="F289" s="41"/>
      <c r="G289" s="41"/>
      <c r="H289" s="41"/>
    </row>
    <row r="290" spans="1:8" ht="17.399999999999999" x14ac:dyDescent="0.35">
      <c r="A290" s="36"/>
      <c r="B290" s="36"/>
      <c r="C290" s="37"/>
      <c r="D290" s="38"/>
      <c r="E290" s="37"/>
      <c r="F290" s="41"/>
      <c r="G290" s="41"/>
      <c r="H290" s="41"/>
    </row>
    <row r="291" spans="1:8" ht="17.399999999999999" x14ac:dyDescent="0.35">
      <c r="A291" s="36"/>
      <c r="B291" s="36"/>
      <c r="C291" s="37"/>
      <c r="D291" s="38"/>
      <c r="E291" s="37"/>
      <c r="F291" s="41"/>
      <c r="G291" s="41"/>
      <c r="H291" s="41"/>
    </row>
    <row r="292" spans="1:8" ht="17.399999999999999" x14ac:dyDescent="0.35">
      <c r="A292" s="36"/>
      <c r="B292" s="36"/>
      <c r="C292" s="37"/>
      <c r="D292" s="38"/>
      <c r="E292" s="37"/>
      <c r="F292" s="41"/>
      <c r="G292" s="41"/>
      <c r="H292" s="41"/>
    </row>
    <row r="293" spans="1:8" ht="17.399999999999999" x14ac:dyDescent="0.35">
      <c r="A293" s="36"/>
      <c r="B293" s="36"/>
      <c r="C293" s="37"/>
      <c r="D293" s="38"/>
      <c r="E293" s="37"/>
      <c r="F293" s="41"/>
      <c r="G293" s="41"/>
      <c r="H293" s="41"/>
    </row>
    <row r="294" spans="1:8" ht="17.399999999999999" x14ac:dyDescent="0.35">
      <c r="A294" s="36"/>
      <c r="B294" s="36"/>
      <c r="C294" s="37"/>
      <c r="D294" s="38"/>
      <c r="E294" s="37"/>
      <c r="F294" s="41"/>
      <c r="G294" s="41"/>
      <c r="H294" s="41"/>
    </row>
    <row r="295" spans="1:8" ht="17.399999999999999" x14ac:dyDescent="0.35">
      <c r="A295" s="36"/>
      <c r="B295" s="36"/>
      <c r="C295" s="37"/>
      <c r="D295" s="38"/>
      <c r="E295" s="37"/>
      <c r="F295" s="41"/>
      <c r="G295" s="41"/>
      <c r="H295" s="41"/>
    </row>
    <row r="296" spans="1:8" ht="17.399999999999999" x14ac:dyDescent="0.35">
      <c r="A296" s="36"/>
      <c r="B296" s="36"/>
      <c r="C296" s="37"/>
      <c r="D296" s="38"/>
      <c r="E296" s="37"/>
      <c r="F296" s="41"/>
      <c r="G296" s="41"/>
      <c r="H296" s="41"/>
    </row>
    <row r="297" spans="1:8" ht="17.399999999999999" x14ac:dyDescent="0.35">
      <c r="A297" s="36"/>
      <c r="B297" s="36"/>
      <c r="C297" s="37"/>
      <c r="D297" s="38"/>
      <c r="E297" s="37"/>
      <c r="F297" s="41"/>
      <c r="G297" s="41"/>
      <c r="H297" s="41"/>
    </row>
    <row r="298" spans="1:8" ht="17.399999999999999" x14ac:dyDescent="0.35">
      <c r="A298" s="36"/>
      <c r="B298" s="36"/>
      <c r="C298" s="37"/>
      <c r="D298" s="38"/>
      <c r="E298" s="37"/>
      <c r="F298" s="41"/>
      <c r="G298" s="41"/>
      <c r="H298" s="41"/>
    </row>
    <row r="299" spans="1:8" ht="17.399999999999999" x14ac:dyDescent="0.35">
      <c r="A299" s="36"/>
      <c r="B299" s="36"/>
      <c r="C299" s="37"/>
      <c r="D299" s="38"/>
      <c r="E299" s="37"/>
      <c r="F299" s="41"/>
      <c r="G299" s="41"/>
      <c r="H299" s="41"/>
    </row>
    <row r="300" spans="1:8" ht="17.399999999999999" x14ac:dyDescent="0.35">
      <c r="A300" s="36"/>
      <c r="B300" s="36"/>
      <c r="C300" s="37"/>
      <c r="D300" s="38"/>
      <c r="E300" s="37"/>
      <c r="F300" s="41"/>
      <c r="G300" s="41"/>
      <c r="H300" s="41"/>
    </row>
    <row r="301" spans="1:8" ht="17.399999999999999" x14ac:dyDescent="0.35">
      <c r="A301" s="36"/>
      <c r="B301" s="36"/>
      <c r="C301" s="37"/>
      <c r="D301" s="38"/>
      <c r="E301" s="37"/>
      <c r="F301" s="41"/>
      <c r="G301" s="41"/>
      <c r="H301" s="41"/>
    </row>
    <row r="302" spans="1:8" ht="17.399999999999999" x14ac:dyDescent="0.35">
      <c r="A302" s="36"/>
      <c r="B302" s="36"/>
      <c r="C302" s="37"/>
      <c r="D302" s="38"/>
      <c r="E302" s="37"/>
      <c r="F302" s="41"/>
      <c r="G302" s="41"/>
      <c r="H302" s="41"/>
    </row>
    <row r="303" spans="1:8" ht="17.399999999999999" x14ac:dyDescent="0.35">
      <c r="A303" s="36"/>
      <c r="B303" s="36"/>
      <c r="C303" s="37"/>
      <c r="D303" s="38"/>
      <c r="E303" s="37"/>
      <c r="F303" s="41"/>
      <c r="G303" s="41"/>
      <c r="H303" s="41"/>
    </row>
    <row r="304" spans="1:8" ht="17.399999999999999" x14ac:dyDescent="0.35">
      <c r="A304" s="36"/>
      <c r="B304" s="36"/>
      <c r="C304" s="37"/>
      <c r="D304" s="38"/>
      <c r="E304" s="37"/>
      <c r="F304" s="41"/>
      <c r="G304" s="41"/>
      <c r="H304" s="41"/>
    </row>
    <row r="305" spans="1:8" ht="17.399999999999999" x14ac:dyDescent="0.35">
      <c r="A305" s="36"/>
      <c r="B305" s="36"/>
      <c r="C305" s="37"/>
      <c r="D305" s="38"/>
      <c r="E305" s="37"/>
      <c r="F305" s="41"/>
      <c r="G305" s="41"/>
      <c r="H305" s="41"/>
    </row>
    <row r="306" spans="1:8" ht="17.399999999999999" x14ac:dyDescent="0.35">
      <c r="A306" s="36"/>
      <c r="B306" s="36"/>
      <c r="C306" s="37"/>
      <c r="D306" s="38"/>
      <c r="E306" s="37"/>
      <c r="F306" s="41"/>
      <c r="G306" s="41"/>
      <c r="H306" s="41"/>
    </row>
    <row r="307" spans="1:8" ht="17.399999999999999" x14ac:dyDescent="0.35">
      <c r="A307" s="36"/>
      <c r="B307" s="36"/>
      <c r="C307" s="37"/>
      <c r="D307" s="38"/>
      <c r="E307" s="37"/>
      <c r="F307" s="41"/>
      <c r="G307" s="41"/>
      <c r="H307" s="41"/>
    </row>
    <row r="308" spans="1:8" ht="17.399999999999999" x14ac:dyDescent="0.35">
      <c r="A308" s="36"/>
      <c r="B308" s="36"/>
      <c r="C308" s="37"/>
      <c r="D308" s="38"/>
      <c r="E308" s="37"/>
      <c r="F308" s="41"/>
      <c r="G308" s="41"/>
      <c r="H308" s="41"/>
    </row>
    <row r="309" spans="1:8" ht="17.399999999999999" x14ac:dyDescent="0.35">
      <c r="A309" s="36"/>
      <c r="B309" s="36"/>
      <c r="C309" s="37"/>
      <c r="D309" s="38"/>
      <c r="E309" s="37"/>
      <c r="F309" s="41"/>
      <c r="G309" s="41"/>
      <c r="H309" s="41"/>
    </row>
    <row r="310" spans="1:8" ht="17.399999999999999" x14ac:dyDescent="0.35">
      <c r="A310" s="36"/>
      <c r="B310" s="36"/>
      <c r="C310" s="37"/>
      <c r="D310" s="38"/>
      <c r="E310" s="37"/>
      <c r="F310" s="41"/>
      <c r="G310" s="41"/>
      <c r="H310" s="41"/>
    </row>
  </sheetData>
  <mergeCells count="4">
    <mergeCell ref="C6:D6"/>
    <mergeCell ref="G6:H6"/>
    <mergeCell ref="C7:D7"/>
    <mergeCell ref="G7:H7"/>
  </mergeCells>
  <conditionalFormatting sqref="A21:H310">
    <cfRule type="expression" dxfId="13" priority="1" stopIfTrue="1">
      <formula>LEFT($A21,5)="Class"</formula>
    </cfRule>
    <cfRule type="expression" dxfId="12" priority="2" stopIfTrue="1">
      <formula>LEFT($A21,5)="Rider"</formula>
    </cfRule>
    <cfRule type="expression" dxfId="11" priority="3" stopIfTrue="1">
      <formula>$A21=0</formula>
    </cfRule>
    <cfRule type="expression" dxfId="10" priority="4">
      <formula>MOD(ROW(),2)=1</formula>
    </cfRule>
  </conditionalFormatting>
  <pageMargins left="0.74803149606299213" right="0.74803149606299213" top="0.98425196850393704" bottom="0.98425196850393704" header="0.51181102362204722" footer="0.51181102362204722"/>
  <pageSetup paperSize="9" scale="59" fitToHeight="0" orientation="portrait" verticalDpi="300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BDF274-D80E-451F-8C19-0C1F9FD29169}">
  <sheetPr codeName="Sheet2">
    <pageSetUpPr fitToPage="1"/>
  </sheetPr>
  <dimension ref="A1:AC33"/>
  <sheetViews>
    <sheetView topLeftCell="C4" zoomScale="80" zoomScaleNormal="80" workbookViewId="0">
      <selection activeCell="H18" sqref="H18"/>
    </sheetView>
  </sheetViews>
  <sheetFormatPr defaultColWidth="8.69921875" defaultRowHeight="14.4" x14ac:dyDescent="0.3"/>
  <cols>
    <col min="1" max="1" width="17.19921875" style="14" bestFit="1" customWidth="1"/>
    <col min="2" max="2" width="14.3984375" style="14" bestFit="1" customWidth="1"/>
    <col min="3" max="3" width="15.69921875" style="14" bestFit="1" customWidth="1"/>
    <col min="4" max="4" width="19.19921875" style="14" bestFit="1" customWidth="1"/>
    <col min="5" max="5" width="12.8984375" style="14" customWidth="1"/>
    <col min="6" max="6" width="21.19921875" style="14" customWidth="1"/>
    <col min="7" max="7" width="16.3984375" style="14" bestFit="1" customWidth="1"/>
    <col min="8" max="8" width="11.3984375" style="1" customWidth="1"/>
    <col min="9" max="9" width="10.5" style="1" customWidth="1"/>
    <col min="10" max="10" width="13.69921875" style="14" bestFit="1" customWidth="1"/>
    <col min="11" max="11" width="8.69921875" style="14" customWidth="1"/>
    <col min="12" max="12" width="8.5" style="14" customWidth="1"/>
    <col min="13" max="15" width="6.69921875" style="14" customWidth="1"/>
    <col min="16" max="16" width="7.19921875" style="14" customWidth="1"/>
    <col min="17" max="21" width="6.69921875" style="14" customWidth="1"/>
    <col min="22" max="23" width="6.09765625" style="14" customWidth="1"/>
    <col min="24" max="24" width="6.09765625" style="1" customWidth="1"/>
    <col min="25" max="25" width="6.09765625" style="14" customWidth="1"/>
    <col min="26" max="26" width="6.09765625" style="1" customWidth="1"/>
    <col min="27" max="27" width="4.8984375" style="1" bestFit="1" customWidth="1"/>
    <col min="28" max="28" width="23.09765625" style="14" customWidth="1"/>
    <col min="29" max="29" width="3.3984375" style="14" customWidth="1"/>
    <col min="30" max="30" width="2.59765625" style="14" customWidth="1"/>
    <col min="31" max="31" width="2.5" style="14" customWidth="1"/>
    <col min="32" max="32" width="8.69921875" style="14"/>
    <col min="33" max="33" width="8.69921875" style="14" customWidth="1"/>
    <col min="34" max="16384" width="8.69921875" style="14"/>
  </cols>
  <sheetData>
    <row r="1" spans="1:29" ht="3" customHeight="1" x14ac:dyDescent="0.3"/>
    <row r="2" spans="1:29" ht="23.4" customHeight="1" x14ac:dyDescent="0.45">
      <c r="A2" s="23"/>
      <c r="B2" s="23"/>
      <c r="F2" s="7" t="s">
        <v>14</v>
      </c>
      <c r="T2" s="1"/>
      <c r="U2" s="1"/>
    </row>
    <row r="3" spans="1:29" ht="14.55" customHeight="1" x14ac:dyDescent="0.3">
      <c r="A3" s="23"/>
      <c r="B3" s="23"/>
      <c r="I3" s="2"/>
      <c r="W3" s="1"/>
      <c r="Y3" s="1"/>
    </row>
    <row r="4" spans="1:29" ht="15.6" x14ac:dyDescent="0.3">
      <c r="A4" s="23"/>
      <c r="B4" s="23"/>
      <c r="F4" s="3"/>
      <c r="I4" s="2"/>
      <c r="M4" s="3"/>
      <c r="Y4" s="1"/>
    </row>
    <row r="5" spans="1:29" ht="14.55" customHeight="1" x14ac:dyDescent="0.3">
      <c r="A5" s="23"/>
      <c r="B5" s="23"/>
      <c r="L5" s="32"/>
      <c r="M5" s="33"/>
      <c r="N5" s="33"/>
      <c r="Y5" s="1"/>
    </row>
    <row r="6" spans="1:29" s="4" customFormat="1" ht="21" x14ac:dyDescent="0.4">
      <c r="A6" s="23"/>
      <c r="B6" s="23"/>
      <c r="C6" s="15" t="s">
        <v>8</v>
      </c>
      <c r="D6" s="63" t="str">
        <f>'Print All Summary'!B6</f>
        <v>Avon Riding Centre</v>
      </c>
      <c r="E6" s="63"/>
      <c r="F6" s="14"/>
      <c r="G6" s="22" t="s">
        <v>9</v>
      </c>
      <c r="H6" s="65">
        <f>'Print All Summary'!F6</f>
        <v>46068</v>
      </c>
      <c r="I6" s="65"/>
      <c r="J6" s="14"/>
      <c r="K6" s="66" t="s">
        <v>15</v>
      </c>
      <c r="L6" s="66"/>
      <c r="M6" s="63" t="str">
        <f>'Print All Summary'!B7</f>
        <v>Wessex TREC</v>
      </c>
      <c r="N6" s="63"/>
      <c r="O6" s="63"/>
      <c r="P6" s="63"/>
      <c r="Q6" s="63"/>
      <c r="R6" s="63"/>
      <c r="S6" s="63"/>
      <c r="T6" s="63"/>
      <c r="U6" s="14"/>
      <c r="X6" s="1"/>
      <c r="Y6" s="1"/>
      <c r="Z6" s="1"/>
      <c r="AA6" s="1"/>
    </row>
    <row r="7" spans="1:29" s="4" customFormat="1" ht="30" customHeight="1" x14ac:dyDescent="0.4">
      <c r="A7" s="23"/>
      <c r="B7" s="23"/>
      <c r="C7" s="15" t="s">
        <v>16</v>
      </c>
      <c r="D7" s="64" t="s">
        <v>17</v>
      </c>
      <c r="E7" s="64"/>
      <c r="F7" s="14"/>
      <c r="H7" s="5"/>
      <c r="I7" s="5"/>
      <c r="J7" s="14"/>
      <c r="U7" s="14"/>
      <c r="X7" s="1"/>
      <c r="Y7" s="1"/>
      <c r="Z7" s="1"/>
      <c r="AA7" s="1"/>
    </row>
    <row r="8" spans="1:29" s="4" customFormat="1" ht="21" x14ac:dyDescent="0.4">
      <c r="A8" s="23"/>
      <c r="B8" s="23"/>
      <c r="C8" s="15"/>
      <c r="D8" s="15"/>
      <c r="E8" s="15"/>
      <c r="H8" s="5"/>
      <c r="I8" s="5"/>
      <c r="X8" s="5"/>
      <c r="Z8" s="5"/>
      <c r="AA8" s="5"/>
    </row>
    <row r="9" spans="1:29" ht="15.6" x14ac:dyDescent="0.3">
      <c r="F9" s="16"/>
      <c r="K9" s="16"/>
      <c r="L9" s="16"/>
      <c r="M9" s="16"/>
      <c r="N9" s="16"/>
      <c r="O9" s="16"/>
      <c r="P9" s="16"/>
      <c r="Q9" s="16"/>
    </row>
    <row r="10" spans="1:29" s="34" customFormat="1" ht="122.55" customHeight="1" x14ac:dyDescent="0.3">
      <c r="A10" s="28" t="s">
        <v>18</v>
      </c>
      <c r="B10" s="29" t="s">
        <v>19</v>
      </c>
      <c r="C10" s="19" t="s">
        <v>20</v>
      </c>
      <c r="D10" s="20" t="s">
        <v>21</v>
      </c>
      <c r="E10" s="20" t="s">
        <v>22</v>
      </c>
      <c r="F10" s="20" t="s">
        <v>23</v>
      </c>
      <c r="G10" s="21" t="s">
        <v>24</v>
      </c>
      <c r="H10" s="21" t="s">
        <v>25</v>
      </c>
      <c r="I10" s="21" t="s">
        <v>26</v>
      </c>
      <c r="J10" s="27" t="s">
        <v>27</v>
      </c>
      <c r="K10" s="26" t="s">
        <v>28</v>
      </c>
      <c r="L10" s="26" t="s">
        <v>29</v>
      </c>
      <c r="M10" s="26" t="s">
        <v>30</v>
      </c>
      <c r="N10" s="26" t="s">
        <v>31</v>
      </c>
      <c r="O10" s="26" t="s">
        <v>32</v>
      </c>
      <c r="P10" s="26" t="s">
        <v>33</v>
      </c>
      <c r="Q10" s="26" t="s">
        <v>34</v>
      </c>
      <c r="R10" s="26" t="s">
        <v>35</v>
      </c>
      <c r="S10" s="26" t="s">
        <v>36</v>
      </c>
      <c r="T10" s="26" t="s">
        <v>37</v>
      </c>
      <c r="U10" s="30" t="s">
        <v>56</v>
      </c>
      <c r="V10" s="24" t="s">
        <v>38</v>
      </c>
      <c r="W10" s="24" t="s">
        <v>39</v>
      </c>
      <c r="X10" s="25" t="s">
        <v>40</v>
      </c>
      <c r="Y10" s="24" t="s">
        <v>41</v>
      </c>
      <c r="Z10" s="24" t="s">
        <v>42</v>
      </c>
      <c r="AA10" s="25" t="s">
        <v>43</v>
      </c>
      <c r="AC10" s="35"/>
    </row>
    <row r="11" spans="1:29" s="35" customFormat="1" x14ac:dyDescent="0.3">
      <c r="A11" s="17"/>
      <c r="B11" s="17"/>
      <c r="C11" s="17" t="s">
        <v>118</v>
      </c>
      <c r="D11" s="17" t="s">
        <v>117</v>
      </c>
      <c r="E11" s="17"/>
      <c r="F11" s="17" t="s">
        <v>116</v>
      </c>
      <c r="G11" s="17">
        <f>IF(H11="E","E",(IF(C11="","",_xlfn.RANK.EQ($H11,$H$11:$H$33)+COUNTIFS($H$11:$H$33,$H11,$J$11:$J$33,"&gt;"&amp;$J11))))</f>
        <v>7</v>
      </c>
      <c r="H11" s="52">
        <f>IF(Open[[#This Row],[RIDER]]="","",IF((COUNTIF(J11, "E")), "E", (SUM(J11+I11))))</f>
        <v>0</v>
      </c>
      <c r="I11" s="52">
        <f>IF(Open[[#This Row],[RIDER]]="","",SUM(X11,AA11))</f>
        <v>0</v>
      </c>
      <c r="J11" s="42">
        <f>IF(Open[[#This Row],[RIDER]]="","",IF(COUNTIF(K11:T11, "E"), "E", (SUM(K11:T11)-U11)))</f>
        <v>0</v>
      </c>
      <c r="K11" s="17">
        <v>0</v>
      </c>
      <c r="L11" s="17">
        <v>0</v>
      </c>
      <c r="M11" s="17">
        <v>0</v>
      </c>
      <c r="N11" s="17">
        <v>0</v>
      </c>
      <c r="O11" s="17">
        <v>0</v>
      </c>
      <c r="P11" s="17">
        <v>0</v>
      </c>
      <c r="Q11" s="17">
        <v>0</v>
      </c>
      <c r="R11" s="17">
        <v>0</v>
      </c>
      <c r="S11" s="17">
        <v>0</v>
      </c>
      <c r="T11" s="17">
        <v>0</v>
      </c>
      <c r="U11" s="17">
        <v>0</v>
      </c>
      <c r="V11" s="17"/>
      <c r="W11" s="17"/>
      <c r="X11" s="18">
        <f>IF(C11="","",IF(OR(Open[[#This Row],[Outside/Broke (O/B)]]="O",Open[[#This Row],[Outside/Broke (O/B)]]="B"),0,VLOOKUP((V11/MAlength*150),CanterScore,2,TRUE)))</f>
        <v>0</v>
      </c>
      <c r="Y11" s="17"/>
      <c r="Z11" s="17"/>
      <c r="AA11" s="18">
        <f>IF(C11="","",IF(OR(Open[[#This Row],[Outside/Broke (O/B)2]]="O",Open[[#This Row],[Outside/Broke (O/B)2]]="B"),0,IF((Y11/MAlength*150)=0, 0,IF((Y11/MAlength*150)&lt;'MA calc'!$A$4, 15, VLOOKUP((Y11/MAlength*150),WalkScore,2,TRUE)))))</f>
        <v>0</v>
      </c>
    </row>
    <row r="12" spans="1:29" s="35" customFormat="1" x14ac:dyDescent="0.3">
      <c r="A12" s="17"/>
      <c r="B12" s="17"/>
      <c r="C12" s="17" t="s">
        <v>103</v>
      </c>
      <c r="D12" s="17" t="s">
        <v>102</v>
      </c>
      <c r="E12" s="17"/>
      <c r="F12" s="17" t="s">
        <v>101</v>
      </c>
      <c r="G12" s="17">
        <f>IF(H12="E","E",(IF(C12="","",_xlfn.RANK.EQ($H12,$H$11:$H$33)+COUNTIFS($H$11:$H$33,$H12,$J$11:$J$33,"&gt;"&amp;$J12))))</f>
        <v>2</v>
      </c>
      <c r="H12" s="52">
        <f>IF(Open[[#This Row],[RIDER]]="","",IF((COUNTIF(J12, "E")), "E", (SUM(J12+I12))))</f>
        <v>106</v>
      </c>
      <c r="I12" s="52">
        <f>IF(Open[[#This Row],[RIDER]]="","",SUM(X12,AA12))</f>
        <v>17</v>
      </c>
      <c r="J12" s="42">
        <f>IF(Open[[#This Row],[RIDER]]="","",IF(COUNTIF(K12:T12, "E"), "E", (SUM(K12:T12)-U12)))</f>
        <v>89</v>
      </c>
      <c r="K12" s="17">
        <v>10</v>
      </c>
      <c r="L12" s="17">
        <v>0</v>
      </c>
      <c r="M12" s="17">
        <v>9</v>
      </c>
      <c r="N12" s="17">
        <v>10</v>
      </c>
      <c r="O12" s="17">
        <v>10</v>
      </c>
      <c r="P12" s="17">
        <v>10</v>
      </c>
      <c r="Q12" s="17">
        <v>10</v>
      </c>
      <c r="R12" s="17">
        <v>10</v>
      </c>
      <c r="S12" s="17">
        <v>10</v>
      </c>
      <c r="T12" s="17">
        <v>10</v>
      </c>
      <c r="U12" s="17">
        <v>0</v>
      </c>
      <c r="V12" s="17">
        <v>18.399999999999999</v>
      </c>
      <c r="W12" s="17"/>
      <c r="X12" s="18">
        <f>IF(C12="","",IF(OR(Open[[#This Row],[Outside/Broke (O/B)]]="O",Open[[#This Row],[Outside/Broke (O/B)]]="B"),0,VLOOKUP((V12/MAlength*150),CanterScore,2,TRUE)))</f>
        <v>15</v>
      </c>
      <c r="Y12" s="17">
        <v>46.7</v>
      </c>
      <c r="Z12" s="17"/>
      <c r="AA12" s="18">
        <f>IF(C12="","",IF(OR(Open[[#This Row],[Outside/Broke (O/B)2]]="O",Open[[#This Row],[Outside/Broke (O/B)2]]="B"),0,IF((Y12/MAlength*150)=0, 0,IF((Y12/MAlength*150)&lt;'MA calc'!$A$4, 15, VLOOKUP((Y12/MAlength*150),WalkScore,2,TRUE)))))</f>
        <v>2</v>
      </c>
    </row>
    <row r="13" spans="1:29" s="35" customFormat="1" x14ac:dyDescent="0.3">
      <c r="A13" s="17"/>
      <c r="B13" s="17"/>
      <c r="C13" s="17" t="s">
        <v>104</v>
      </c>
      <c r="D13" s="17" t="s">
        <v>105</v>
      </c>
      <c r="E13" s="17"/>
      <c r="F13" s="17" t="s">
        <v>106</v>
      </c>
      <c r="G13" s="17">
        <f>IF(H13="E","E",(IF(C13="","",_xlfn.RANK.EQ($H13,$H$11:$H$33)+COUNTIFS($H$11:$H$33,$H13,$J$11:$J$33,"&gt;"&amp;$J13))))</f>
        <v>4</v>
      </c>
      <c r="H13" s="52">
        <f>IF(Open[[#This Row],[RIDER]]="","",IF((COUNTIF(J13, "E")), "E", (SUM(J13+I13))))</f>
        <v>98.5</v>
      </c>
      <c r="I13" s="52">
        <f>IF(Open[[#This Row],[RIDER]]="","",SUM(X13,AA13))</f>
        <v>14.5</v>
      </c>
      <c r="J13" s="42">
        <f>IF(Open[[#This Row],[RIDER]]="","",IF(COUNTIF(K13:T13, "E"), "E", (SUM(K13:T13)-U13)))</f>
        <v>84</v>
      </c>
      <c r="K13" s="17">
        <v>10</v>
      </c>
      <c r="L13" s="17">
        <v>9</v>
      </c>
      <c r="M13" s="17">
        <v>0</v>
      </c>
      <c r="N13" s="17">
        <v>10</v>
      </c>
      <c r="O13" s="17">
        <v>8</v>
      </c>
      <c r="P13" s="17">
        <v>7</v>
      </c>
      <c r="Q13" s="17">
        <v>10</v>
      </c>
      <c r="R13" s="17">
        <v>10</v>
      </c>
      <c r="S13" s="17">
        <v>10</v>
      </c>
      <c r="T13" s="17">
        <v>10</v>
      </c>
      <c r="U13" s="17">
        <v>0</v>
      </c>
      <c r="V13" s="17">
        <v>16.399999999999999</v>
      </c>
      <c r="W13" s="17"/>
      <c r="X13" s="18">
        <f>IF(C13="","",IF(OR(Open[[#This Row],[Outside/Broke (O/B)]]="O",Open[[#This Row],[Outside/Broke (O/B)]]="B"),0,VLOOKUP((V13/MAlength*150),CanterScore,2,TRUE)))</f>
        <v>11.5</v>
      </c>
      <c r="Y13" s="17">
        <v>45.7</v>
      </c>
      <c r="Z13" s="17"/>
      <c r="AA13" s="18">
        <f>IF(C13="","",IF(OR(Open[[#This Row],[Outside/Broke (O/B)2]]="O",Open[[#This Row],[Outside/Broke (O/B)2]]="B"),0,IF((Y13/MAlength*150)=0, 0,IF((Y13/MAlength*150)&lt;'MA calc'!$A$4, 15, VLOOKUP((Y13/MAlength*150),WalkScore,2,TRUE)))))</f>
        <v>3</v>
      </c>
    </row>
    <row r="14" spans="1:29" s="35" customFormat="1" x14ac:dyDescent="0.3">
      <c r="A14" s="17"/>
      <c r="B14" s="17"/>
      <c r="C14" s="17" t="s">
        <v>109</v>
      </c>
      <c r="D14" s="17" t="s">
        <v>108</v>
      </c>
      <c r="E14" s="17"/>
      <c r="F14" s="17" t="s">
        <v>107</v>
      </c>
      <c r="G14" s="17">
        <f>IF(H14="E","E",(IF(C14="","",_xlfn.RANK.EQ($H14,$H$11:$H$33)+COUNTIFS($H$11:$H$33,$H14,$J$11:$J$33,"&gt;"&amp;$J14))))</f>
        <v>5</v>
      </c>
      <c r="H14" s="52">
        <f>IF(Open[[#This Row],[RIDER]]="","",IF((COUNTIF(J14, "E")), "E", (SUM(J14+I14))))</f>
        <v>97</v>
      </c>
      <c r="I14" s="52">
        <f>IF(Open[[#This Row],[RIDER]]="","",SUM(X14,AA14))</f>
        <v>0</v>
      </c>
      <c r="J14" s="42">
        <f>IF(Open[[#This Row],[RIDER]]="","",IF(COUNTIF(K14:T14, "E"), "E", (SUM(K14:T14)-U14)))</f>
        <v>97</v>
      </c>
      <c r="K14" s="17">
        <v>10</v>
      </c>
      <c r="L14" s="17">
        <v>10</v>
      </c>
      <c r="M14" s="17">
        <v>9</v>
      </c>
      <c r="N14" s="17">
        <v>10</v>
      </c>
      <c r="O14" s="17">
        <v>9</v>
      </c>
      <c r="P14" s="17">
        <v>10</v>
      </c>
      <c r="Q14" s="17">
        <v>10</v>
      </c>
      <c r="R14" s="17">
        <v>10</v>
      </c>
      <c r="S14" s="17">
        <v>10</v>
      </c>
      <c r="T14" s="17">
        <v>9</v>
      </c>
      <c r="U14" s="17">
        <v>0</v>
      </c>
      <c r="V14" s="17">
        <v>19.2</v>
      </c>
      <c r="W14" s="17" t="s">
        <v>122</v>
      </c>
      <c r="X14" s="18">
        <f>IF(C14="","",IF(OR(Open[[#This Row],[Outside/Broke (O/B)]]="O",Open[[#This Row],[Outside/Broke (O/B)]]="B"),0,VLOOKUP((V14/MAlength*150),CanterScore,2,TRUE)))</f>
        <v>0</v>
      </c>
      <c r="Y14" s="17">
        <v>48.3</v>
      </c>
      <c r="Z14" s="17"/>
      <c r="AA14" s="18">
        <f>IF(C14="","",IF(OR(Open[[#This Row],[Outside/Broke (O/B)2]]="O",Open[[#This Row],[Outside/Broke (O/B)2]]="B"),0,IF((Y14/MAlength*150)=0, 0,IF((Y14/MAlength*150)&lt;'MA calc'!$A$4, 15, VLOOKUP((Y14/MAlength*150),WalkScore,2,TRUE)))))</f>
        <v>0</v>
      </c>
    </row>
    <row r="15" spans="1:29" s="35" customFormat="1" x14ac:dyDescent="0.3">
      <c r="A15" s="17"/>
      <c r="B15" s="17"/>
      <c r="C15" s="17" t="s">
        <v>110</v>
      </c>
      <c r="D15" s="17" t="s">
        <v>111</v>
      </c>
      <c r="E15" s="17"/>
      <c r="F15" s="17" t="s">
        <v>112</v>
      </c>
      <c r="G15" s="17">
        <f>IF(H15="E","E",(IF(C15="","",_xlfn.RANK.EQ($H15,$H$11:$H$33)+COUNTIFS($H$11:$H$33,$H15,$J$11:$J$33,"&gt;"&amp;$J15))))</f>
        <v>3</v>
      </c>
      <c r="H15" s="52">
        <f>IF(Open[[#This Row],[RIDER]]="","",IF((COUNTIF(J15, "E")), "E", (SUM(J15+I15))))</f>
        <v>104</v>
      </c>
      <c r="I15" s="52">
        <f>IF(Open[[#This Row],[RIDER]]="","",SUM(X15,AA15))</f>
        <v>22</v>
      </c>
      <c r="J15" s="42">
        <f>IF(Open[[#This Row],[RIDER]]="","",IF(COUNTIF(K15:T15, "E"), "E", (SUM(K15:T15)-U15)))</f>
        <v>82</v>
      </c>
      <c r="K15" s="17">
        <v>10</v>
      </c>
      <c r="L15" s="17">
        <v>0</v>
      </c>
      <c r="M15" s="17">
        <v>7</v>
      </c>
      <c r="N15" s="17">
        <v>10</v>
      </c>
      <c r="O15" s="17">
        <v>9</v>
      </c>
      <c r="P15" s="17">
        <v>10</v>
      </c>
      <c r="Q15" s="17">
        <v>10</v>
      </c>
      <c r="R15" s="17">
        <v>6</v>
      </c>
      <c r="S15" s="17">
        <v>10</v>
      </c>
      <c r="T15" s="17">
        <v>10</v>
      </c>
      <c r="U15" s="17">
        <v>0</v>
      </c>
      <c r="V15" s="17">
        <v>19</v>
      </c>
      <c r="W15" s="17"/>
      <c r="X15" s="18">
        <f>IF(C15="","",IF(OR(Open[[#This Row],[Outside/Broke (O/B)]]="O",Open[[#This Row],[Outside/Broke (O/B)]]="B"),0,VLOOKUP((V15/MAlength*150),CanterScore,2,TRUE)))</f>
        <v>15</v>
      </c>
      <c r="Y15" s="17">
        <v>41.6</v>
      </c>
      <c r="Z15" s="17"/>
      <c r="AA15" s="18">
        <f>IF(C15="","",IF(OR(Open[[#This Row],[Outside/Broke (O/B)2]]="O",Open[[#This Row],[Outside/Broke (O/B)2]]="B"),0,IF((Y15/MAlength*150)=0, 0,IF((Y15/MAlength*150)&lt;'MA calc'!$A$4, 15, VLOOKUP((Y15/MAlength*150),WalkScore,2,TRUE)))))</f>
        <v>7</v>
      </c>
    </row>
    <row r="16" spans="1:29" s="35" customFormat="1" x14ac:dyDescent="0.3">
      <c r="A16" s="17"/>
      <c r="B16" s="17"/>
      <c r="C16" s="17" t="s">
        <v>99</v>
      </c>
      <c r="D16" s="17" t="s">
        <v>98</v>
      </c>
      <c r="E16" s="17"/>
      <c r="F16" s="17" t="s">
        <v>97</v>
      </c>
      <c r="G16" s="17">
        <f>IF(H16="E","E",(IF(C16="","",_xlfn.RANK.EQ($H16,$H$11:$H$33)+COUNTIFS($H$11:$H$33,$H16,$J$11:$J$33,"&gt;"&amp;$J16))))</f>
        <v>6</v>
      </c>
      <c r="H16" s="52">
        <f>IF(Open[[#This Row],[RIDER]]="","",IF((COUNTIF(J16, "E")), "E", (SUM(J16+I16))))</f>
        <v>69</v>
      </c>
      <c r="I16" s="52">
        <f>IF(Open[[#This Row],[RIDER]]="","",SUM(X16,AA16))</f>
        <v>15</v>
      </c>
      <c r="J16" s="42">
        <f>IF(Open[[#This Row],[RIDER]]="","",IF(COUNTIF(K16:T16, "E"), "E", (SUM(K16:T16)-U16)))</f>
        <v>54</v>
      </c>
      <c r="K16" s="17">
        <v>4</v>
      </c>
      <c r="L16" s="17">
        <v>0</v>
      </c>
      <c r="M16" s="17">
        <v>8</v>
      </c>
      <c r="N16" s="17">
        <v>10</v>
      </c>
      <c r="O16" s="17">
        <v>9</v>
      </c>
      <c r="P16" s="17">
        <v>7</v>
      </c>
      <c r="Q16" s="17">
        <v>0</v>
      </c>
      <c r="R16" s="17">
        <v>6</v>
      </c>
      <c r="S16" s="17">
        <v>0</v>
      </c>
      <c r="T16" s="17">
        <v>10</v>
      </c>
      <c r="U16" s="17">
        <v>0</v>
      </c>
      <c r="V16" s="17">
        <v>17</v>
      </c>
      <c r="W16" s="17"/>
      <c r="X16" s="18">
        <f>IF(C16="","",IF(OR(Open[[#This Row],[Outside/Broke (O/B)]]="O",Open[[#This Row],[Outside/Broke (O/B)]]="B"),0,VLOOKUP((V16/MAlength*150),CanterScore,2,TRUE)))</f>
        <v>15</v>
      </c>
      <c r="Y16" s="17">
        <v>49.7</v>
      </c>
      <c r="Z16" s="17"/>
      <c r="AA16" s="18">
        <f>IF(C16="","",IF(OR(Open[[#This Row],[Outside/Broke (O/B)2]]="O",Open[[#This Row],[Outside/Broke (O/B)2]]="B"),0,IF((Y16/MAlength*150)=0, 0,IF((Y16/MAlength*150)&lt;'MA calc'!$A$4, 15, VLOOKUP((Y16/MAlength*150),WalkScore,2,TRUE)))))</f>
        <v>0</v>
      </c>
    </row>
    <row r="17" spans="1:27" s="35" customFormat="1" x14ac:dyDescent="0.3">
      <c r="A17" s="17"/>
      <c r="B17" s="17"/>
      <c r="C17" s="17" t="s">
        <v>113</v>
      </c>
      <c r="D17" s="17" t="s">
        <v>114</v>
      </c>
      <c r="E17" s="17"/>
      <c r="F17" s="17" t="s">
        <v>115</v>
      </c>
      <c r="G17" s="17">
        <f>IF(H17="E","E",(IF(C17="","",_xlfn.RANK.EQ($H17,$H$11:$H$33)+COUNTIFS($H$11:$H$33,$H17,$J$11:$J$33,"&gt;"&amp;$J17))))</f>
        <v>1</v>
      </c>
      <c r="H17" s="52">
        <f>IF(Open[[#This Row],[RIDER]]="","",IF((COUNTIF(J17, "E")), "E", (SUM(J17+I17))))</f>
        <v>120</v>
      </c>
      <c r="I17" s="52">
        <f>IF(Open[[#This Row],[RIDER]]="","",SUM(X17,AA17))</f>
        <v>23</v>
      </c>
      <c r="J17" s="42">
        <f>IF(Open[[#This Row],[RIDER]]="","",IF(COUNTIF(K17:T17, "E"), "E", (SUM(K17:T17)-U17)))</f>
        <v>97</v>
      </c>
      <c r="K17" s="17">
        <v>10</v>
      </c>
      <c r="L17" s="17">
        <v>10</v>
      </c>
      <c r="M17" s="17">
        <v>9</v>
      </c>
      <c r="N17" s="17">
        <v>10</v>
      </c>
      <c r="O17" s="17">
        <v>9</v>
      </c>
      <c r="P17" s="17">
        <v>10</v>
      </c>
      <c r="Q17" s="17">
        <v>10</v>
      </c>
      <c r="R17" s="17">
        <v>9</v>
      </c>
      <c r="S17" s="17">
        <v>10</v>
      </c>
      <c r="T17" s="17">
        <v>10</v>
      </c>
      <c r="U17" s="17">
        <v>0</v>
      </c>
      <c r="V17" s="17">
        <v>16.399999999999999</v>
      </c>
      <c r="W17" s="17"/>
      <c r="X17" s="18">
        <f>IF(C17="","",IF(OR(Open[[#This Row],[Outside/Broke (O/B)]]="O",Open[[#This Row],[Outside/Broke (O/B)]]="B"),0,VLOOKUP((V17/MAlength*150),CanterScore,2,TRUE)))</f>
        <v>11.5</v>
      </c>
      <c r="Y17" s="17">
        <v>37.1</v>
      </c>
      <c r="Z17" s="17"/>
      <c r="AA17" s="18">
        <f>IF(C17="","",IF(OR(Open[[#This Row],[Outside/Broke (O/B)2]]="O",Open[[#This Row],[Outside/Broke (O/B)2]]="B"),0,IF((Y17/MAlength*150)=0, 0,IF((Y17/MAlength*150)&lt;'MA calc'!$A$4, 15, VLOOKUP((Y17/MAlength*150),WalkScore,2,TRUE)))))</f>
        <v>11.5</v>
      </c>
    </row>
    <row r="18" spans="1:27" s="35" customFormat="1" x14ac:dyDescent="0.3">
      <c r="A18" s="17"/>
      <c r="B18" s="17"/>
      <c r="C18" s="17"/>
      <c r="D18" s="17"/>
      <c r="E18" s="17"/>
      <c r="F18" s="17"/>
      <c r="G18" s="17" t="str">
        <f>IF(H18="E","E",(IF(C18="","",_xlfn.RANK.EQ($H18,$H$11:$H$33)+COUNTIFS($H$11:$H$33,$H18,$J$11:$J$33,"&gt;"&amp;$J18))))</f>
        <v/>
      </c>
      <c r="H18" s="52" t="str">
        <f>IF(Open[[#This Row],[RIDER]]="","",IF((COUNTIF(J18, "E")), "E", (SUM(J18+I18))))</f>
        <v/>
      </c>
      <c r="I18" s="52" t="str">
        <f>IF(Open[[#This Row],[RIDER]]="","",SUM(X18,AA18))</f>
        <v/>
      </c>
      <c r="J18" s="42" t="str">
        <f>IF(Open[[#This Row],[RIDER]]="","",IF(COUNTIF(K18:T18, "E"), "E", (SUM(K18:T18)-U18)))</f>
        <v/>
      </c>
      <c r="K18" s="17">
        <v>0</v>
      </c>
      <c r="L18" s="17">
        <v>0</v>
      </c>
      <c r="M18" s="17">
        <v>0</v>
      </c>
      <c r="N18" s="17">
        <v>0</v>
      </c>
      <c r="O18" s="17">
        <v>0</v>
      </c>
      <c r="P18" s="17">
        <v>0</v>
      </c>
      <c r="Q18" s="17">
        <v>0</v>
      </c>
      <c r="R18" s="17">
        <v>0</v>
      </c>
      <c r="S18" s="17">
        <v>0</v>
      </c>
      <c r="T18" s="17">
        <v>0</v>
      </c>
      <c r="U18" s="17">
        <v>0</v>
      </c>
      <c r="V18" s="17"/>
      <c r="W18" s="17"/>
      <c r="X18" s="18" t="str">
        <f>IF(C18="","",IF(OR(Open[[#This Row],[Outside/Broke (O/B)]]="O",Open[[#This Row],[Outside/Broke (O/B)]]="B"),0,VLOOKUP((V18/MAlength*150),CanterScore,2,TRUE)))</f>
        <v/>
      </c>
      <c r="Y18" s="17"/>
      <c r="Z18" s="17"/>
      <c r="AA18" s="18" t="str">
        <f>IF(C18="","",IF(OR(Open[[#This Row],[Outside/Broke (O/B)2]]="O",Open[[#This Row],[Outside/Broke (O/B)2]]="B"),0,IF((Y18/MAlength*150)=0, 0,IF((Y18/MAlength*150)&lt;'MA calc'!$A$4, 15, VLOOKUP((Y18/MAlength*150),WalkScore,2,TRUE)))))</f>
        <v/>
      </c>
    </row>
    <row r="19" spans="1:27" s="35" customFormat="1" x14ac:dyDescent="0.3">
      <c r="A19" s="17"/>
      <c r="B19" s="17"/>
      <c r="C19" s="17"/>
      <c r="D19" s="17"/>
      <c r="E19" s="17"/>
      <c r="F19" s="17"/>
      <c r="G19" s="17" t="str">
        <f>IF(H19="E","E",(IF(C19="","",_xlfn.RANK.EQ($H19,$H$11:$H$33)+COUNTIFS($H$11:$H$33,$H19,$J$11:$J$33,"&gt;"&amp;$J19))))</f>
        <v/>
      </c>
      <c r="H19" s="52" t="str">
        <f>IF(Open[[#This Row],[RIDER]]="","",IF((COUNTIF(J19, "E")), "E", (SUM(J19+I19))))</f>
        <v/>
      </c>
      <c r="I19" s="52" t="str">
        <f>IF(Open[[#This Row],[RIDER]]="","",SUM(X19,AA19))</f>
        <v/>
      </c>
      <c r="J19" s="42" t="str">
        <f>IF(Open[[#This Row],[RIDER]]="","",IF(COUNTIF(K19:T19, "E"), "E", (SUM(K19:T19)-U19)))</f>
        <v/>
      </c>
      <c r="K19" s="17">
        <v>0</v>
      </c>
      <c r="L19" s="17">
        <v>0</v>
      </c>
      <c r="M19" s="17">
        <v>0</v>
      </c>
      <c r="N19" s="17">
        <v>0</v>
      </c>
      <c r="O19" s="17">
        <v>0</v>
      </c>
      <c r="P19" s="17">
        <v>0</v>
      </c>
      <c r="Q19" s="17">
        <v>0</v>
      </c>
      <c r="R19" s="17">
        <v>0</v>
      </c>
      <c r="S19" s="17">
        <v>0</v>
      </c>
      <c r="T19" s="17">
        <v>0</v>
      </c>
      <c r="U19" s="17">
        <v>0</v>
      </c>
      <c r="V19" s="17"/>
      <c r="W19" s="17"/>
      <c r="X19" s="18" t="str">
        <f>IF(C19="","",IF(OR(Open[[#This Row],[Outside/Broke (O/B)]]="O",Open[[#This Row],[Outside/Broke (O/B)]]="B"),0,VLOOKUP((V19/MAlength*150),CanterScore,2,TRUE)))</f>
        <v/>
      </c>
      <c r="Y19" s="17"/>
      <c r="Z19" s="17"/>
      <c r="AA19" s="18" t="str">
        <f>IF(C19="","",IF(OR(Open[[#This Row],[Outside/Broke (O/B)2]]="O",Open[[#This Row],[Outside/Broke (O/B)2]]="B"),0,IF((Y19/MAlength*150)=0, 0,IF((Y19/MAlength*150)&lt;'MA calc'!$A$4, 15, VLOOKUP((Y19/MAlength*150),WalkScore,2,TRUE)))))</f>
        <v/>
      </c>
    </row>
    <row r="20" spans="1:27" s="35" customFormat="1" x14ac:dyDescent="0.3">
      <c r="A20" s="17"/>
      <c r="B20" s="17"/>
      <c r="C20" s="17"/>
      <c r="D20" s="17"/>
      <c r="E20" s="17"/>
      <c r="F20" s="17"/>
      <c r="G20" s="17" t="str">
        <f>IF(H20="E","E",(IF(C20="","",_xlfn.RANK.EQ($H20,$H$11:$H$33)+COUNTIFS($H$11:$H$33,$H20,$J$11:$J$33,"&gt;"&amp;$J20))))</f>
        <v/>
      </c>
      <c r="H20" s="52" t="str">
        <f>IF(Open[[#This Row],[RIDER]]="","",IF((COUNTIF(J20, "E")), "E", (SUM(J20+I20))))</f>
        <v/>
      </c>
      <c r="I20" s="52" t="str">
        <f>IF(Open[[#This Row],[RIDER]]="","",SUM(X20,AA20))</f>
        <v/>
      </c>
      <c r="J20" s="42" t="str">
        <f>IF(Open[[#This Row],[RIDER]]="","",IF(COUNTIF(K20:T20, "E"), "E", (SUM(K20:T20)-U20)))</f>
        <v/>
      </c>
      <c r="K20" s="17">
        <v>0</v>
      </c>
      <c r="L20" s="17">
        <v>0</v>
      </c>
      <c r="M20" s="17">
        <v>0</v>
      </c>
      <c r="N20" s="17">
        <v>0</v>
      </c>
      <c r="O20" s="17">
        <v>0</v>
      </c>
      <c r="P20" s="17">
        <v>0</v>
      </c>
      <c r="Q20" s="17">
        <v>0</v>
      </c>
      <c r="R20" s="17">
        <v>0</v>
      </c>
      <c r="S20" s="17">
        <v>0</v>
      </c>
      <c r="T20" s="17">
        <v>0</v>
      </c>
      <c r="U20" s="17">
        <v>0</v>
      </c>
      <c r="V20" s="17"/>
      <c r="W20" s="17"/>
      <c r="X20" s="18" t="str">
        <f>IF(C20="","",IF(OR(Open[[#This Row],[Outside/Broke (O/B)]]="O",Open[[#This Row],[Outside/Broke (O/B)]]="B"),0,VLOOKUP((V20/MAlength*150),CanterScore,2,TRUE)))</f>
        <v/>
      </c>
      <c r="Y20" s="17"/>
      <c r="Z20" s="17"/>
      <c r="AA20" s="18" t="str">
        <f>IF(C20="","",IF(OR(Open[[#This Row],[Outside/Broke (O/B)2]]="O",Open[[#This Row],[Outside/Broke (O/B)2]]="B"),0,IF((Y20/MAlength*150)=0, 0,IF((Y20/MAlength*150)&lt;'MA calc'!$A$4, 15, VLOOKUP((Y20/MAlength*150),WalkScore,2,TRUE)))))</f>
        <v/>
      </c>
    </row>
    <row r="21" spans="1:27" s="35" customFormat="1" x14ac:dyDescent="0.3">
      <c r="A21" s="17"/>
      <c r="B21" s="17"/>
      <c r="C21" s="17"/>
      <c r="D21" s="17"/>
      <c r="E21" s="17"/>
      <c r="F21" s="17"/>
      <c r="G21" s="17" t="str">
        <f>IF(H21="E","E",(IF(C21="","",_xlfn.RANK.EQ($H21,$H$11:$H$33)+COUNTIFS($H$11:$H$33,$H21,$J$11:$J$33,"&gt;"&amp;$J21))))</f>
        <v/>
      </c>
      <c r="H21" s="52" t="str">
        <f>IF(Open[[#This Row],[RIDER]]="","",IF((COUNTIF(J21, "E")), "E", (SUM(J21+I21))))</f>
        <v/>
      </c>
      <c r="I21" s="52" t="str">
        <f>IF(Open[[#This Row],[RIDER]]="","",SUM(X21,AA21))</f>
        <v/>
      </c>
      <c r="J21" s="42" t="str">
        <f>IF(Open[[#This Row],[RIDER]]="","",IF(COUNTIF(K21:T21, "E"), "E", (SUM(K21:T21)-U21)))</f>
        <v/>
      </c>
      <c r="K21" s="17">
        <v>0</v>
      </c>
      <c r="L21" s="17">
        <v>0</v>
      </c>
      <c r="M21" s="17">
        <v>0</v>
      </c>
      <c r="N21" s="17">
        <v>0</v>
      </c>
      <c r="O21" s="17">
        <v>0</v>
      </c>
      <c r="P21" s="17">
        <v>0</v>
      </c>
      <c r="Q21" s="17">
        <v>0</v>
      </c>
      <c r="R21" s="17">
        <v>0</v>
      </c>
      <c r="S21" s="17">
        <v>0</v>
      </c>
      <c r="T21" s="17">
        <v>0</v>
      </c>
      <c r="U21" s="17">
        <v>0</v>
      </c>
      <c r="V21" s="17"/>
      <c r="W21" s="17"/>
      <c r="X21" s="18" t="str">
        <f>IF(C21="","",IF(OR(Open[[#This Row],[Outside/Broke (O/B)]]="O",Open[[#This Row],[Outside/Broke (O/B)]]="B"),0,VLOOKUP((V21/MAlength*150),CanterScore,2,TRUE)))</f>
        <v/>
      </c>
      <c r="Y21" s="17"/>
      <c r="Z21" s="17"/>
      <c r="AA21" s="18" t="str">
        <f>IF(C21="","",IF(OR(Open[[#This Row],[Outside/Broke (O/B)2]]="O",Open[[#This Row],[Outside/Broke (O/B)2]]="B"),0,IF((Y21/MAlength*150)=0, 0,IF((Y21/MAlength*150)&lt;'MA calc'!$A$4, 15, VLOOKUP((Y21/MAlength*150),WalkScore,2,TRUE)))))</f>
        <v/>
      </c>
    </row>
    <row r="22" spans="1:27" s="35" customFormat="1" x14ac:dyDescent="0.3">
      <c r="A22" s="17"/>
      <c r="B22" s="17"/>
      <c r="C22" s="17"/>
      <c r="D22" s="17"/>
      <c r="E22" s="17"/>
      <c r="F22" s="17"/>
      <c r="G22" s="17" t="str">
        <f>IF(H22="E","E",(IF(C22="","",_xlfn.RANK.EQ($H22,$H$11:$H$33)+COUNTIFS($H$11:$H$33,$H22,$J$11:$J$33,"&gt;"&amp;$J22))))</f>
        <v/>
      </c>
      <c r="H22" s="52" t="str">
        <f>IF(Open[[#This Row],[RIDER]]="","",IF((COUNTIF(J22, "E")), "E", (SUM(J22+I22))))</f>
        <v/>
      </c>
      <c r="I22" s="52" t="str">
        <f>IF(Open[[#This Row],[RIDER]]="","",SUM(X22,AA22))</f>
        <v/>
      </c>
      <c r="J22" s="42" t="str">
        <f>IF(Open[[#This Row],[RIDER]]="","",IF(COUNTIF(K22:T22, "E"), "E", (SUM(K22:T22)-U22)))</f>
        <v/>
      </c>
      <c r="K22" s="17">
        <v>0</v>
      </c>
      <c r="L22" s="17">
        <v>0</v>
      </c>
      <c r="M22" s="17">
        <v>0</v>
      </c>
      <c r="N22" s="17">
        <v>0</v>
      </c>
      <c r="O22" s="17">
        <v>0</v>
      </c>
      <c r="P22" s="17">
        <v>0</v>
      </c>
      <c r="Q22" s="17">
        <v>0</v>
      </c>
      <c r="R22" s="17">
        <v>0</v>
      </c>
      <c r="S22" s="17">
        <v>0</v>
      </c>
      <c r="T22" s="17">
        <v>0</v>
      </c>
      <c r="U22" s="17">
        <v>0</v>
      </c>
      <c r="V22" s="17"/>
      <c r="W22" s="17"/>
      <c r="X22" s="18" t="str">
        <f>IF(C22="","",IF(OR(Open[[#This Row],[Outside/Broke (O/B)]]="O",Open[[#This Row],[Outside/Broke (O/B)]]="B"),0,VLOOKUP((V22/MAlength*150),CanterScore,2,TRUE)))</f>
        <v/>
      </c>
      <c r="Y22" s="17"/>
      <c r="Z22" s="17"/>
      <c r="AA22" s="18" t="str">
        <f>IF(C22="","",IF(OR(Open[[#This Row],[Outside/Broke (O/B)2]]="O",Open[[#This Row],[Outside/Broke (O/B)2]]="B"),0,IF((Y22/MAlength*150)=0, 0,IF((Y22/MAlength*150)&lt;'MA calc'!$A$4, 15, VLOOKUP((Y22/MAlength*150),WalkScore,2,TRUE)))))</f>
        <v/>
      </c>
    </row>
    <row r="23" spans="1:27" s="35" customFormat="1" x14ac:dyDescent="0.3">
      <c r="A23" s="17"/>
      <c r="B23" s="17"/>
      <c r="C23" s="17"/>
      <c r="D23" s="17"/>
      <c r="E23" s="17"/>
      <c r="F23" s="17"/>
      <c r="G23" s="17" t="str">
        <f>IF(H23="E","E",(IF(C23="","",_xlfn.RANK.EQ($H23,$H$11:$H$33)+COUNTIFS($H$11:$H$33,$H23,$J$11:$J$33,"&gt;"&amp;$J23))))</f>
        <v/>
      </c>
      <c r="H23" s="52" t="str">
        <f>IF(Open[[#This Row],[RIDER]]="","",IF((COUNTIF(J23, "E")), "E", (SUM(J23+I23))))</f>
        <v/>
      </c>
      <c r="I23" s="52" t="str">
        <f>IF(Open[[#This Row],[RIDER]]="","",SUM(X23,AA23))</f>
        <v/>
      </c>
      <c r="J23" s="42" t="str">
        <f>IF(Open[[#This Row],[RIDER]]="","",IF(COUNTIF(K23:T23, "E"), "E", (SUM(K23:T23)-U23)))</f>
        <v/>
      </c>
      <c r="K23" s="17">
        <v>0</v>
      </c>
      <c r="L23" s="17">
        <v>0</v>
      </c>
      <c r="M23" s="17">
        <v>0</v>
      </c>
      <c r="N23" s="17">
        <v>0</v>
      </c>
      <c r="O23" s="17">
        <v>0</v>
      </c>
      <c r="P23" s="17">
        <v>0</v>
      </c>
      <c r="Q23" s="17">
        <v>0</v>
      </c>
      <c r="R23" s="17">
        <v>0</v>
      </c>
      <c r="S23" s="17">
        <v>0</v>
      </c>
      <c r="T23" s="17">
        <v>0</v>
      </c>
      <c r="U23" s="17">
        <v>0</v>
      </c>
      <c r="V23" s="17"/>
      <c r="W23" s="17"/>
      <c r="X23" s="18" t="str">
        <f>IF(C23="","",IF(OR(Open[[#This Row],[Outside/Broke (O/B)]]="O",Open[[#This Row],[Outside/Broke (O/B)]]="B"),0,VLOOKUP((V23/MAlength*150),CanterScore,2,TRUE)))</f>
        <v/>
      </c>
      <c r="Y23" s="17"/>
      <c r="Z23" s="17"/>
      <c r="AA23" s="18" t="str">
        <f>IF(C23="","",IF(OR(Open[[#This Row],[Outside/Broke (O/B)2]]="O",Open[[#This Row],[Outside/Broke (O/B)2]]="B"),0,IF((Y23/MAlength*150)=0, 0,IF((Y23/MAlength*150)&lt;'MA calc'!$A$4, 15, VLOOKUP((Y23/MAlength*150),WalkScore,2,TRUE)))))</f>
        <v/>
      </c>
    </row>
    <row r="24" spans="1:27" s="35" customFormat="1" x14ac:dyDescent="0.3">
      <c r="A24" s="17"/>
      <c r="B24" s="17"/>
      <c r="C24" s="17"/>
      <c r="D24" s="17"/>
      <c r="E24" s="17"/>
      <c r="F24" s="17"/>
      <c r="G24" s="17" t="str">
        <f>IF(H24="E","E",(IF(C24="","",_xlfn.RANK.EQ($H24,$H$11:$H$33)+COUNTIFS($H$11:$H$33,$H24,$J$11:$J$33,"&gt;"&amp;$J24))))</f>
        <v/>
      </c>
      <c r="H24" s="52" t="str">
        <f>IF(Open[[#This Row],[RIDER]]="","",IF((COUNTIF(J24, "E")), "E", (SUM(J24+I24))))</f>
        <v/>
      </c>
      <c r="I24" s="52" t="str">
        <f>IF(Open[[#This Row],[RIDER]]="","",SUM(X24,AA24))</f>
        <v/>
      </c>
      <c r="J24" s="42" t="str">
        <f>IF(Open[[#This Row],[RIDER]]="","",IF(COUNTIF(K24:T24, "E"), "E", (SUM(K24:T24)-U24)))</f>
        <v/>
      </c>
      <c r="K24" s="17">
        <v>0</v>
      </c>
      <c r="L24" s="17">
        <v>0</v>
      </c>
      <c r="M24" s="17">
        <v>0</v>
      </c>
      <c r="N24" s="17">
        <v>0</v>
      </c>
      <c r="O24" s="17">
        <v>0</v>
      </c>
      <c r="P24" s="17">
        <v>0</v>
      </c>
      <c r="Q24" s="17">
        <v>0</v>
      </c>
      <c r="R24" s="17">
        <v>0</v>
      </c>
      <c r="S24" s="17">
        <v>0</v>
      </c>
      <c r="T24" s="17">
        <v>0</v>
      </c>
      <c r="U24" s="17">
        <v>0</v>
      </c>
      <c r="V24" s="17"/>
      <c r="W24" s="17"/>
      <c r="X24" s="18" t="str">
        <f>IF(C24="","",IF(OR(Open[[#This Row],[Outside/Broke (O/B)]]="O",Open[[#This Row],[Outside/Broke (O/B)]]="B"),0,VLOOKUP((V24/MAlength*150),CanterScore,2,TRUE)))</f>
        <v/>
      </c>
      <c r="Y24" s="17"/>
      <c r="Z24" s="17"/>
      <c r="AA24" s="18" t="str">
        <f>IF(C24="","",IF(OR(Open[[#This Row],[Outside/Broke (O/B)2]]="O",Open[[#This Row],[Outside/Broke (O/B)2]]="B"),0,IF((Y24/MAlength*150)=0, 0,IF((Y24/MAlength*150)&lt;'MA calc'!$A$4, 15, VLOOKUP((Y24/MAlength*150),WalkScore,2,TRUE)))))</f>
        <v/>
      </c>
    </row>
    <row r="25" spans="1:27" s="35" customFormat="1" x14ac:dyDescent="0.3">
      <c r="A25" s="17"/>
      <c r="B25" s="17"/>
      <c r="C25" s="17"/>
      <c r="D25" s="17"/>
      <c r="E25" s="17"/>
      <c r="F25" s="17"/>
      <c r="G25" s="17" t="str">
        <f>IF(H25="E","E",(IF(C25="","",_xlfn.RANK.EQ($H25,$H$11:$H$33)+COUNTIFS($H$11:$H$33,$H25,$J$11:$J$33,"&gt;"&amp;$J25))))</f>
        <v/>
      </c>
      <c r="H25" s="52" t="str">
        <f>IF(Open[[#This Row],[RIDER]]="","",IF((COUNTIF(J25, "E")), "E", (SUM(J25+I25))))</f>
        <v/>
      </c>
      <c r="I25" s="52" t="str">
        <f>IF(Open[[#This Row],[RIDER]]="","",SUM(X25,AA25))</f>
        <v/>
      </c>
      <c r="J25" s="42" t="str">
        <f>IF(Open[[#This Row],[RIDER]]="","",IF(COUNTIF(K25:T25, "E"), "E", (SUM(K25:T25)-U25)))</f>
        <v/>
      </c>
      <c r="K25" s="17">
        <v>0</v>
      </c>
      <c r="L25" s="17">
        <v>0</v>
      </c>
      <c r="M25" s="17">
        <v>0</v>
      </c>
      <c r="N25" s="17">
        <v>0</v>
      </c>
      <c r="O25" s="17">
        <v>0</v>
      </c>
      <c r="P25" s="17">
        <v>0</v>
      </c>
      <c r="Q25" s="17">
        <v>0</v>
      </c>
      <c r="R25" s="17">
        <v>0</v>
      </c>
      <c r="S25" s="17">
        <v>0</v>
      </c>
      <c r="T25" s="17">
        <v>0</v>
      </c>
      <c r="U25" s="17">
        <v>0</v>
      </c>
      <c r="V25" s="17"/>
      <c r="W25" s="17"/>
      <c r="X25" s="18" t="str">
        <f>IF(C25="","",IF(OR(Open[[#This Row],[Outside/Broke (O/B)]]="O",Open[[#This Row],[Outside/Broke (O/B)]]="B"),0,VLOOKUP((V25/MAlength*150),CanterScore,2,TRUE)))</f>
        <v/>
      </c>
      <c r="Y25" s="17"/>
      <c r="Z25" s="17"/>
      <c r="AA25" s="18" t="str">
        <f>IF(C25="","",IF(OR(Open[[#This Row],[Outside/Broke (O/B)2]]="O",Open[[#This Row],[Outside/Broke (O/B)2]]="B"),0,IF((Y25/MAlength*150)=0, 0,IF((Y25/MAlength*150)&lt;'MA calc'!$A$4, 15, VLOOKUP((Y25/MAlength*150),WalkScore,2,TRUE)))))</f>
        <v/>
      </c>
    </row>
    <row r="26" spans="1:27" s="35" customFormat="1" x14ac:dyDescent="0.3">
      <c r="A26" s="17"/>
      <c r="B26" s="17"/>
      <c r="C26" s="17"/>
      <c r="D26" s="17"/>
      <c r="E26" s="17"/>
      <c r="F26" s="17"/>
      <c r="G26" s="17" t="str">
        <f>IF(H26="E","E",(IF(C26="","",_xlfn.RANK.EQ($H26,$H$11:$H$33)+COUNTIFS($H$11:$H$33,$H26,$J$11:$J$33,"&gt;"&amp;$J26))))</f>
        <v/>
      </c>
      <c r="H26" s="52" t="str">
        <f>IF(Open[[#This Row],[RIDER]]="","",IF((COUNTIF(J26, "E")), "E", (SUM(J26+I26))))</f>
        <v/>
      </c>
      <c r="I26" s="52" t="str">
        <f>IF(Open[[#This Row],[RIDER]]="","",SUM(X26,AA26))</f>
        <v/>
      </c>
      <c r="J26" s="42" t="str">
        <f>IF(Open[[#This Row],[RIDER]]="","",IF(COUNTIF(K26:T26, "E"), "E", (SUM(K26:T26)-U26)))</f>
        <v/>
      </c>
      <c r="K26" s="17">
        <v>0</v>
      </c>
      <c r="L26" s="17">
        <v>0</v>
      </c>
      <c r="M26" s="17">
        <v>0</v>
      </c>
      <c r="N26" s="17">
        <v>0</v>
      </c>
      <c r="O26" s="17">
        <v>0</v>
      </c>
      <c r="P26" s="17">
        <v>0</v>
      </c>
      <c r="Q26" s="17">
        <v>0</v>
      </c>
      <c r="R26" s="17">
        <v>0</v>
      </c>
      <c r="S26" s="17">
        <v>0</v>
      </c>
      <c r="T26" s="17">
        <v>0</v>
      </c>
      <c r="U26" s="17">
        <v>0</v>
      </c>
      <c r="V26" s="17"/>
      <c r="W26" s="17"/>
      <c r="X26" s="18" t="str">
        <f>IF(C26="","",IF(OR(Open[[#This Row],[Outside/Broke (O/B)]]="O",Open[[#This Row],[Outside/Broke (O/B)]]="B"),0,VLOOKUP((V26/MAlength*150),CanterScore,2,TRUE)))</f>
        <v/>
      </c>
      <c r="Y26" s="17"/>
      <c r="Z26" s="17"/>
      <c r="AA26" s="18" t="str">
        <f>IF(C26="","",IF(OR(Open[[#This Row],[Outside/Broke (O/B)2]]="O",Open[[#This Row],[Outside/Broke (O/B)2]]="B"),0,IF((Y26/MAlength*150)=0, 0,IF((Y26/MAlength*150)&lt;'MA calc'!$A$4, 15, VLOOKUP((Y26/MAlength*150),WalkScore,2,TRUE)))))</f>
        <v/>
      </c>
    </row>
    <row r="27" spans="1:27" s="35" customFormat="1" x14ac:dyDescent="0.3">
      <c r="A27" s="17"/>
      <c r="B27" s="17"/>
      <c r="C27" s="17"/>
      <c r="D27" s="17"/>
      <c r="E27" s="17"/>
      <c r="F27" s="17"/>
      <c r="G27" s="17" t="str">
        <f>IF(H27="E","E",(IF(C27="","",_xlfn.RANK.EQ($H27,$H$11:$H$33)+COUNTIFS($H$11:$H$33,$H27,$J$11:$J$33,"&gt;"&amp;$J27))))</f>
        <v/>
      </c>
      <c r="H27" s="52" t="str">
        <f>IF(Open[[#This Row],[RIDER]]="","",IF((COUNTIF(J27, "E")), "E", (SUM(J27+I27))))</f>
        <v/>
      </c>
      <c r="I27" s="52" t="str">
        <f>IF(Open[[#This Row],[RIDER]]="","",SUM(X27,AA27))</f>
        <v/>
      </c>
      <c r="J27" s="42" t="str">
        <f>IF(Open[[#This Row],[RIDER]]="","",IF(COUNTIF(K27:T27, "E"), "E", (SUM(K27:T27)-U27)))</f>
        <v/>
      </c>
      <c r="K27" s="17">
        <v>0</v>
      </c>
      <c r="L27" s="17">
        <v>0</v>
      </c>
      <c r="M27" s="17">
        <v>0</v>
      </c>
      <c r="N27" s="17">
        <v>0</v>
      </c>
      <c r="O27" s="17">
        <v>0</v>
      </c>
      <c r="P27" s="17">
        <v>0</v>
      </c>
      <c r="Q27" s="17">
        <v>0</v>
      </c>
      <c r="R27" s="17">
        <v>0</v>
      </c>
      <c r="S27" s="17">
        <v>0</v>
      </c>
      <c r="T27" s="17">
        <v>0</v>
      </c>
      <c r="U27" s="17">
        <v>0</v>
      </c>
      <c r="V27" s="17"/>
      <c r="W27" s="17"/>
      <c r="X27" s="18" t="str">
        <f>IF(C27="","",IF(OR(Open[[#This Row],[Outside/Broke (O/B)]]="O",Open[[#This Row],[Outside/Broke (O/B)]]="B"),0,VLOOKUP((V27/MAlength*150),CanterScore,2,TRUE)))</f>
        <v/>
      </c>
      <c r="Y27" s="17"/>
      <c r="Z27" s="17"/>
      <c r="AA27" s="18" t="str">
        <f>IF(C27="","",IF(OR(Open[[#This Row],[Outside/Broke (O/B)2]]="O",Open[[#This Row],[Outside/Broke (O/B)2]]="B"),0,IF((Y27/MAlength*150)=0, 0,IF((Y27/MAlength*150)&lt;'MA calc'!$A$4, 15, VLOOKUP((Y27/MAlength*150),WalkScore,2,TRUE)))))</f>
        <v/>
      </c>
    </row>
    <row r="28" spans="1:27" s="35" customFormat="1" x14ac:dyDescent="0.3">
      <c r="A28" s="17"/>
      <c r="B28" s="17"/>
      <c r="C28" s="17"/>
      <c r="D28" s="17"/>
      <c r="E28" s="17"/>
      <c r="F28" s="17"/>
      <c r="G28" s="17" t="str">
        <f>IF(H28="E","E",(IF(C28="","",_xlfn.RANK.EQ($H28,$H$11:$H$33)+COUNTIFS($H$11:$H$33,$H28,$J$11:$J$33,"&gt;"&amp;$J28))))</f>
        <v/>
      </c>
      <c r="H28" s="52" t="str">
        <f>IF(Open[[#This Row],[RIDER]]="","",IF((COUNTIF(J28, "E")), "E", (SUM(J28+I28))))</f>
        <v/>
      </c>
      <c r="I28" s="52" t="str">
        <f>IF(Open[[#This Row],[RIDER]]="","",SUM(X28,AA28))</f>
        <v/>
      </c>
      <c r="J28" s="42" t="str">
        <f>IF(Open[[#This Row],[RIDER]]="","",IF(COUNTIF(K28:T28, "E"), "E", (SUM(K28:T28)-U28)))</f>
        <v/>
      </c>
      <c r="K28" s="17">
        <v>0</v>
      </c>
      <c r="L28" s="17">
        <v>0</v>
      </c>
      <c r="M28" s="17">
        <v>0</v>
      </c>
      <c r="N28" s="17">
        <v>0</v>
      </c>
      <c r="O28" s="17">
        <v>0</v>
      </c>
      <c r="P28" s="17">
        <v>0</v>
      </c>
      <c r="Q28" s="17">
        <v>0</v>
      </c>
      <c r="R28" s="17">
        <v>0</v>
      </c>
      <c r="S28" s="17">
        <v>0</v>
      </c>
      <c r="T28" s="17">
        <v>0</v>
      </c>
      <c r="U28" s="17">
        <v>0</v>
      </c>
      <c r="V28" s="17"/>
      <c r="W28" s="17"/>
      <c r="X28" s="18" t="str">
        <f>IF(C28="","",IF(OR(Open[[#This Row],[Outside/Broke (O/B)]]="O",Open[[#This Row],[Outside/Broke (O/B)]]="B"),0,VLOOKUP((V28/MAlength*150),CanterScore,2,TRUE)))</f>
        <v/>
      </c>
      <c r="Y28" s="17"/>
      <c r="Z28" s="17"/>
      <c r="AA28" s="18" t="str">
        <f>IF(C28="","",IF(OR(Open[[#This Row],[Outside/Broke (O/B)2]]="O",Open[[#This Row],[Outside/Broke (O/B)2]]="B"),0,IF((Y28/MAlength*150)=0, 0,IF((Y28/MAlength*150)&lt;'MA calc'!$A$4, 15, VLOOKUP((Y28/MAlength*150),WalkScore,2,TRUE)))))</f>
        <v/>
      </c>
    </row>
    <row r="29" spans="1:27" s="35" customFormat="1" x14ac:dyDescent="0.3">
      <c r="A29" s="17"/>
      <c r="B29" s="17"/>
      <c r="C29" s="17"/>
      <c r="D29" s="17"/>
      <c r="E29" s="17"/>
      <c r="F29" s="17"/>
      <c r="G29" s="17" t="str">
        <f>IF(H29="E","E",(IF(C29="","",_xlfn.RANK.EQ($H29,$H$11:$H$33)+COUNTIFS($H$11:$H$33,$H29,$J$11:$J$33,"&gt;"&amp;$J29))))</f>
        <v/>
      </c>
      <c r="H29" s="52" t="str">
        <f>IF(Open[[#This Row],[RIDER]]="","",IF((COUNTIF(J29, "E")), "E", (SUM(J29+I29))))</f>
        <v/>
      </c>
      <c r="I29" s="52" t="str">
        <f>IF(Open[[#This Row],[RIDER]]="","",SUM(X29,AA29))</f>
        <v/>
      </c>
      <c r="J29" s="42" t="str">
        <f>IF(Open[[#This Row],[RIDER]]="","",IF(COUNTIF(K29:T29, "E"), "E", (SUM(K29:T29)-U29)))</f>
        <v/>
      </c>
      <c r="K29" s="17">
        <v>0</v>
      </c>
      <c r="L29" s="17">
        <v>0</v>
      </c>
      <c r="M29" s="17">
        <v>0</v>
      </c>
      <c r="N29" s="17">
        <v>0</v>
      </c>
      <c r="O29" s="17">
        <v>0</v>
      </c>
      <c r="P29" s="17">
        <v>0</v>
      </c>
      <c r="Q29" s="17">
        <v>0</v>
      </c>
      <c r="R29" s="17">
        <v>0</v>
      </c>
      <c r="S29" s="17">
        <v>0</v>
      </c>
      <c r="T29" s="17">
        <v>0</v>
      </c>
      <c r="U29" s="17">
        <v>0</v>
      </c>
      <c r="V29" s="17"/>
      <c r="W29" s="17"/>
      <c r="X29" s="18" t="str">
        <f>IF(C29="","",IF(OR(Open[[#This Row],[Outside/Broke (O/B)]]="O",Open[[#This Row],[Outside/Broke (O/B)]]="B"),0,VLOOKUP((V29/MAlength*150),CanterScore,2,TRUE)))</f>
        <v/>
      </c>
      <c r="Y29" s="17"/>
      <c r="Z29" s="17"/>
      <c r="AA29" s="18" t="str">
        <f>IF(C29="","",IF(OR(Open[[#This Row],[Outside/Broke (O/B)2]]="O",Open[[#This Row],[Outside/Broke (O/B)2]]="B"),0,IF((Y29/MAlength*150)=0, 0,IF((Y29/MAlength*150)&lt;'MA calc'!$A$4, 15, VLOOKUP((Y29/MAlength*150),WalkScore,2,TRUE)))))</f>
        <v/>
      </c>
    </row>
    <row r="30" spans="1:27" s="35" customFormat="1" x14ac:dyDescent="0.3">
      <c r="A30" s="17"/>
      <c r="B30" s="17"/>
      <c r="C30" s="17"/>
      <c r="D30" s="17"/>
      <c r="E30" s="17"/>
      <c r="F30" s="17"/>
      <c r="G30" s="17" t="str">
        <f>IF(H30="E","E",(IF(C30="","",_xlfn.RANK.EQ($H30,$H$11:$H$33)+COUNTIFS($H$11:$H$33,$H30,$J$11:$J$33,"&gt;"&amp;$J30))))</f>
        <v/>
      </c>
      <c r="H30" s="52" t="str">
        <f>IF(Open[[#This Row],[RIDER]]="","",IF((COUNTIF(J30, "E")), "E", (SUM(J30+I30))))</f>
        <v/>
      </c>
      <c r="I30" s="52" t="str">
        <f>IF(Open[[#This Row],[RIDER]]="","",SUM(X30,AA30))</f>
        <v/>
      </c>
      <c r="J30" s="42" t="str">
        <f>IF(Open[[#This Row],[RIDER]]="","",IF(COUNTIF(K30:T30, "E"), "E", (SUM(K30:T30)-U30)))</f>
        <v/>
      </c>
      <c r="K30" s="17">
        <v>0</v>
      </c>
      <c r="L30" s="17">
        <v>0</v>
      </c>
      <c r="M30" s="17">
        <v>0</v>
      </c>
      <c r="N30" s="17">
        <v>0</v>
      </c>
      <c r="O30" s="17">
        <v>0</v>
      </c>
      <c r="P30" s="17">
        <v>0</v>
      </c>
      <c r="Q30" s="17">
        <v>0</v>
      </c>
      <c r="R30" s="17">
        <v>0</v>
      </c>
      <c r="S30" s="17">
        <v>0</v>
      </c>
      <c r="T30" s="17">
        <v>0</v>
      </c>
      <c r="U30" s="17">
        <v>0</v>
      </c>
      <c r="V30" s="17"/>
      <c r="W30" s="17"/>
      <c r="X30" s="18" t="str">
        <f>IF(C30="","",IF(OR(Open[[#This Row],[Outside/Broke (O/B)]]="O",Open[[#This Row],[Outside/Broke (O/B)]]="B"),0,VLOOKUP((V30/MAlength*150),CanterScore,2,TRUE)))</f>
        <v/>
      </c>
      <c r="Y30" s="17"/>
      <c r="Z30" s="17"/>
      <c r="AA30" s="18" t="str">
        <f>IF(C30="","",IF(OR(Open[[#This Row],[Outside/Broke (O/B)2]]="O",Open[[#This Row],[Outside/Broke (O/B)2]]="B"),0,IF((Y30/MAlength*150)=0, 0,IF((Y30/MAlength*150)&lt;'MA calc'!$A$4, 15, VLOOKUP((Y30/MAlength*150),WalkScore,2,TRUE)))))</f>
        <v/>
      </c>
    </row>
    <row r="31" spans="1:27" s="35" customFormat="1" x14ac:dyDescent="0.3">
      <c r="A31" s="17"/>
      <c r="B31" s="17"/>
      <c r="C31" s="17"/>
      <c r="D31" s="17"/>
      <c r="E31" s="17"/>
      <c r="F31" s="17"/>
      <c r="G31" s="17" t="str">
        <f>IF(H31="E","E",(IF(C31="","",_xlfn.RANK.EQ($H31,$H$11:$H$33)+COUNTIFS($H$11:$H$33,$H31,$J$11:$J$33,"&gt;"&amp;$J31))))</f>
        <v/>
      </c>
      <c r="H31" s="52" t="str">
        <f>IF(Open[[#This Row],[RIDER]]="","",IF((COUNTIF(J31, "E")), "E", (SUM(J31+I31))))</f>
        <v/>
      </c>
      <c r="I31" s="52" t="str">
        <f>IF(Open[[#This Row],[RIDER]]="","",SUM(X31,AA31))</f>
        <v/>
      </c>
      <c r="J31" s="42" t="str">
        <f>IF(Open[[#This Row],[RIDER]]="","",IF(COUNTIF(K31:T31, "E"), "E", (SUM(K31:T31)-U31)))</f>
        <v/>
      </c>
      <c r="K31" s="17">
        <v>0</v>
      </c>
      <c r="L31" s="17">
        <v>0</v>
      </c>
      <c r="M31" s="17">
        <v>0</v>
      </c>
      <c r="N31" s="17">
        <v>0</v>
      </c>
      <c r="O31" s="17">
        <v>0</v>
      </c>
      <c r="P31" s="17">
        <v>0</v>
      </c>
      <c r="Q31" s="17">
        <v>0</v>
      </c>
      <c r="R31" s="17">
        <v>0</v>
      </c>
      <c r="S31" s="17">
        <v>0</v>
      </c>
      <c r="T31" s="17">
        <v>0</v>
      </c>
      <c r="U31" s="17">
        <v>0</v>
      </c>
      <c r="V31" s="17"/>
      <c r="W31" s="17"/>
      <c r="X31" s="18" t="str">
        <f>IF(C31="","",IF(OR(Open[[#This Row],[Outside/Broke (O/B)]]="O",Open[[#This Row],[Outside/Broke (O/B)]]="B"),0,VLOOKUP((V31/MAlength*150),CanterScore,2,TRUE)))</f>
        <v/>
      </c>
      <c r="Y31" s="17"/>
      <c r="Z31" s="17"/>
      <c r="AA31" s="18" t="str">
        <f>IF(C31="","",IF(OR(Open[[#This Row],[Outside/Broke (O/B)2]]="O",Open[[#This Row],[Outside/Broke (O/B)2]]="B"),0,IF((Y31/MAlength*150)=0, 0,IF((Y31/MAlength*150)&lt;'MA calc'!$A$4, 15, VLOOKUP((Y31/MAlength*150),WalkScore,2,TRUE)))))</f>
        <v/>
      </c>
    </row>
    <row r="32" spans="1:27" s="35" customFormat="1" x14ac:dyDescent="0.3">
      <c r="A32" s="17"/>
      <c r="B32" s="17"/>
      <c r="C32" s="17"/>
      <c r="D32" s="17"/>
      <c r="E32" s="17"/>
      <c r="F32" s="17"/>
      <c r="G32" s="17" t="str">
        <f>IF(H32="E","E",(IF(C32="","",_xlfn.RANK.EQ($H32,$H$11:$H$33)+COUNTIFS($H$11:$H$33,$H32,$J$11:$J$33,"&gt;"&amp;$J32))))</f>
        <v/>
      </c>
      <c r="H32" s="52" t="str">
        <f>IF(Open[[#This Row],[RIDER]]="","",IF((COUNTIF(J32, "E")), "E", (SUM(J32+I32))))</f>
        <v/>
      </c>
      <c r="I32" s="52" t="str">
        <f>IF(Open[[#This Row],[RIDER]]="","",SUM(X32,AA32))</f>
        <v/>
      </c>
      <c r="J32" s="42" t="str">
        <f>IF(Open[[#This Row],[RIDER]]="","",IF(COUNTIF(K32:T32, "E"), "E", (SUM(K32:T32)-U32)))</f>
        <v/>
      </c>
      <c r="K32" s="17">
        <v>0</v>
      </c>
      <c r="L32" s="17">
        <v>0</v>
      </c>
      <c r="M32" s="17">
        <v>0</v>
      </c>
      <c r="N32" s="17">
        <v>0</v>
      </c>
      <c r="O32" s="17">
        <v>0</v>
      </c>
      <c r="P32" s="17">
        <v>0</v>
      </c>
      <c r="Q32" s="17">
        <v>0</v>
      </c>
      <c r="R32" s="17">
        <v>0</v>
      </c>
      <c r="S32" s="17">
        <v>0</v>
      </c>
      <c r="T32" s="17">
        <v>0</v>
      </c>
      <c r="U32" s="17">
        <v>0</v>
      </c>
      <c r="V32" s="17"/>
      <c r="W32" s="17"/>
      <c r="X32" s="18" t="str">
        <f>IF(C32="","",IF(OR(Open[[#This Row],[Outside/Broke (O/B)]]="O",Open[[#This Row],[Outside/Broke (O/B)]]="B"),0,VLOOKUP((V32/MAlength*150),CanterScore,2,TRUE)))</f>
        <v/>
      </c>
      <c r="Y32" s="17"/>
      <c r="Z32" s="17"/>
      <c r="AA32" s="18" t="str">
        <f>IF(C32="","",IF(OR(Open[[#This Row],[Outside/Broke (O/B)2]]="O",Open[[#This Row],[Outside/Broke (O/B)2]]="B"),0,IF((Y32/MAlength*150)=0, 0,IF((Y32/MAlength*150)&lt;'MA calc'!$A$4, 15, VLOOKUP((Y32/MAlength*150),WalkScore,2,TRUE)))))</f>
        <v/>
      </c>
    </row>
    <row r="33" spans="1:27" s="35" customFormat="1" x14ac:dyDescent="0.3">
      <c r="A33" s="17"/>
      <c r="B33" s="17"/>
      <c r="C33" s="17"/>
      <c r="D33" s="17"/>
      <c r="E33" s="17"/>
      <c r="F33" s="17"/>
      <c r="G33" s="17" t="str">
        <f>IF(H33="E","E",(IF(C33="","",_xlfn.RANK.EQ($H33,$H$11:$H$33)+COUNTIFS($H$11:$H$33,$H33,$J$11:$J$33,"&gt;"&amp;$J33))))</f>
        <v/>
      </c>
      <c r="H33" s="52" t="str">
        <f>IF(Open[[#This Row],[RIDER]]="","",IF((COUNTIF(J33, "E")), "E", (SUM(J33+I33))))</f>
        <v/>
      </c>
      <c r="I33" s="52" t="str">
        <f>IF(Open[[#This Row],[RIDER]]="","",SUM(X33,AA33))</f>
        <v/>
      </c>
      <c r="J33" s="42" t="str">
        <f>IF(Open[[#This Row],[RIDER]]="","",IF(COUNTIF(K33:T33, "E"), "E", (SUM(K33:T33)-U33)))</f>
        <v/>
      </c>
      <c r="K33" s="17">
        <v>0</v>
      </c>
      <c r="L33" s="17">
        <v>0</v>
      </c>
      <c r="M33" s="17">
        <v>0</v>
      </c>
      <c r="N33" s="17">
        <v>0</v>
      </c>
      <c r="O33" s="17">
        <v>0</v>
      </c>
      <c r="P33" s="17">
        <v>0</v>
      </c>
      <c r="Q33" s="17">
        <v>0</v>
      </c>
      <c r="R33" s="17">
        <v>0</v>
      </c>
      <c r="S33" s="17">
        <v>0</v>
      </c>
      <c r="T33" s="17">
        <v>0</v>
      </c>
      <c r="U33" s="17">
        <v>0</v>
      </c>
      <c r="V33" s="17"/>
      <c r="W33" s="17"/>
      <c r="X33" s="18" t="str">
        <f>IF(C33="","",IF(OR(Open[[#This Row],[Outside/Broke (O/B)]]="O",Open[[#This Row],[Outside/Broke (O/B)]]="B"),0,VLOOKUP((V33/MAlength*150),CanterScore,2,TRUE)))</f>
        <v/>
      </c>
      <c r="Y33" s="17"/>
      <c r="Z33" s="17"/>
      <c r="AA33" s="18" t="str">
        <f>IF(C33="","",IF(OR(Open[[#This Row],[Outside/Broke (O/B)2]]="O",Open[[#This Row],[Outside/Broke (O/B)2]]="B"),0,IF((Y33/MAlength*150)=0, 0,IF((Y33/MAlength*150)&lt;'MA calc'!$A$4, 15, VLOOKUP((Y33/MAlength*150),WalkScore,2,TRUE)))))</f>
        <v/>
      </c>
    </row>
  </sheetData>
  <mergeCells count="5">
    <mergeCell ref="M6:T6"/>
    <mergeCell ref="D7:E7"/>
    <mergeCell ref="D6:E6"/>
    <mergeCell ref="H6:I6"/>
    <mergeCell ref="K6:L6"/>
  </mergeCells>
  <phoneticPr fontId="7" type="noConversion"/>
  <conditionalFormatting sqref="K11:U33">
    <cfRule type="cellIs" dxfId="9" priority="1" operator="greaterThan">
      <formula>10</formula>
    </cfRule>
  </conditionalFormatting>
  <dataValidations count="3">
    <dataValidation type="list" allowBlank="1" showDropDown="1" showErrorMessage="1" errorTitle="Invalid entry" error="Please enter O or B only" sqref="Z11:Z33 W11:W33" xr:uid="{9F0D5600-3AFF-4A63-86FF-442154B6279C}">
      <formula1>"B,O"</formula1>
    </dataValidation>
    <dataValidation type="list" allowBlank="1" showDropDown="1" showErrorMessage="1" errorTitle="Invalid entry" error="Please enter Y or N only" sqref="E11:E33" xr:uid="{65EE5353-4954-4040-B01D-ADAD76C685AF}">
      <formula1>"N,Y"</formula1>
    </dataValidation>
    <dataValidation type="list" operator="lessThanOrEqual" allowBlank="1" showDropDown="1" showInputMessage="1" showErrorMessage="1" errorTitle="Invalid entry" error="The maximum score for each obstacle is 10. _x000a_Please enter a number between -5 and 10, or an E." sqref="K11:U33" xr:uid="{F49A6144-060C-43A7-9DFB-823272284ED7}">
      <formula1>"0,1,2,3,4,5,6,7,8,9,10,E,-1,-2,-3,-4,-5"</formula1>
    </dataValidation>
  </dataValidations>
  <printOptions horizontalCentered="1" verticalCentered="1"/>
  <pageMargins left="0.23622047244094491" right="0.23622047244094491" top="0.74803149606299213" bottom="0.74803149606299213" header="0.31496062992125984" footer="0.31496062992125984"/>
  <pageSetup paperSize="9" scale="56" orientation="landscape" r:id="rId1"/>
  <drawing r:id="rId2"/>
  <tableParts count="1">
    <tablePart r:id="rId3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552B6B-1F4C-48ED-9FBE-DE5B3297693B}">
  <sheetPr>
    <pageSetUpPr fitToPage="1"/>
  </sheetPr>
  <dimension ref="A1:AB35"/>
  <sheetViews>
    <sheetView tabSelected="1" topLeftCell="D1" zoomScale="87" zoomScaleNormal="75" workbookViewId="0">
      <selection activeCell="T17" sqref="T17"/>
    </sheetView>
  </sheetViews>
  <sheetFormatPr defaultColWidth="8.69921875" defaultRowHeight="14.4" x14ac:dyDescent="0.3"/>
  <cols>
    <col min="1" max="1" width="17.19921875" style="14" bestFit="1" customWidth="1"/>
    <col min="2" max="2" width="14.3984375" style="14" bestFit="1" customWidth="1"/>
    <col min="3" max="3" width="15.69921875" style="14" bestFit="1" customWidth="1"/>
    <col min="4" max="4" width="19.19921875" style="14" bestFit="1" customWidth="1"/>
    <col min="5" max="5" width="12.8984375" style="14" customWidth="1"/>
    <col min="6" max="6" width="21.19921875" style="14" customWidth="1"/>
    <col min="7" max="7" width="16.3984375" style="14" bestFit="1" customWidth="1"/>
    <col min="8" max="8" width="11.3984375" style="1" customWidth="1"/>
    <col min="9" max="9" width="10.5" style="1" customWidth="1"/>
    <col min="10" max="10" width="12.5" style="14" bestFit="1" customWidth="1"/>
    <col min="11" max="11" width="8.69921875" style="14" customWidth="1"/>
    <col min="12" max="12" width="8.5" style="14" customWidth="1"/>
    <col min="13" max="15" width="6.69921875" style="14" customWidth="1"/>
    <col min="16" max="16" width="7.19921875" style="14" customWidth="1"/>
    <col min="17" max="21" width="6.69921875" style="14" customWidth="1"/>
    <col min="22" max="23" width="9" style="14" customWidth="1"/>
    <col min="24" max="24" width="6.69921875" style="1" customWidth="1"/>
    <col min="25" max="25" width="9" style="14" customWidth="1"/>
    <col min="26" max="27" width="6.69921875" style="1" customWidth="1"/>
    <col min="28" max="28" width="4.5" style="14" hidden="1" customWidth="1"/>
    <col min="29" max="29" width="23.09765625" style="14" customWidth="1"/>
    <col min="30" max="30" width="3.3984375" style="14" customWidth="1"/>
    <col min="31" max="31" width="2.59765625" style="14" customWidth="1"/>
    <col min="32" max="32" width="2.5" style="14" customWidth="1"/>
    <col min="33" max="33" width="8.69921875" style="14"/>
    <col min="34" max="34" width="8.69921875" style="14" customWidth="1"/>
    <col min="35" max="16384" width="8.69921875" style="14"/>
  </cols>
  <sheetData>
    <row r="1" spans="1:28" ht="3" customHeight="1" x14ac:dyDescent="0.3"/>
    <row r="2" spans="1:28" ht="23.4" customHeight="1" x14ac:dyDescent="0.45">
      <c r="A2" s="23"/>
      <c r="B2" s="23"/>
      <c r="F2" s="7" t="s">
        <v>14</v>
      </c>
      <c r="T2" s="1"/>
      <c r="U2" s="1"/>
    </row>
    <row r="3" spans="1:28" ht="14.55" customHeight="1" x14ac:dyDescent="0.3">
      <c r="A3" s="23"/>
      <c r="B3" s="23"/>
      <c r="I3" s="2"/>
      <c r="W3" s="1"/>
      <c r="Y3" s="1"/>
    </row>
    <row r="4" spans="1:28" ht="15.6" x14ac:dyDescent="0.3">
      <c r="A4" s="23"/>
      <c r="B4" s="23"/>
      <c r="F4" s="3"/>
      <c r="I4" s="2"/>
      <c r="M4" s="3"/>
      <c r="Y4" s="1"/>
    </row>
    <row r="5" spans="1:28" ht="14.55" customHeight="1" x14ac:dyDescent="0.3">
      <c r="A5" s="23"/>
      <c r="B5" s="23"/>
      <c r="L5" s="32"/>
      <c r="M5" s="33"/>
      <c r="N5" s="33"/>
      <c r="Y5" s="1"/>
    </row>
    <row r="6" spans="1:28" s="4" customFormat="1" ht="21" x14ac:dyDescent="0.4">
      <c r="A6" s="23"/>
      <c r="B6" s="23"/>
      <c r="C6" s="15" t="s">
        <v>8</v>
      </c>
      <c r="D6" s="63" t="str">
        <f>'Print All Summary'!B6</f>
        <v>Avon Riding Centre</v>
      </c>
      <c r="E6" s="63"/>
      <c r="F6" s="14"/>
      <c r="G6" s="22" t="s">
        <v>9</v>
      </c>
      <c r="H6" s="65">
        <f>'Print All Summary'!F6</f>
        <v>46068</v>
      </c>
      <c r="I6" s="65"/>
      <c r="J6" s="14"/>
      <c r="K6" s="66" t="s">
        <v>15</v>
      </c>
      <c r="L6" s="66"/>
      <c r="M6" s="63" t="str">
        <f>'Print All Summary'!B7</f>
        <v>Wessex TREC</v>
      </c>
      <c r="N6" s="63"/>
      <c r="O6" s="63"/>
      <c r="P6" s="63"/>
      <c r="Q6" s="63"/>
      <c r="R6" s="63"/>
      <c r="S6" s="63"/>
      <c r="T6" s="63"/>
      <c r="U6" s="14"/>
      <c r="X6" s="1"/>
      <c r="Y6" s="1"/>
      <c r="Z6" s="1"/>
      <c r="AA6" s="1"/>
    </row>
    <row r="7" spans="1:28" s="4" customFormat="1" ht="30" customHeight="1" x14ac:dyDescent="0.4">
      <c r="A7" s="23"/>
      <c r="B7" s="23"/>
      <c r="C7" s="15" t="s">
        <v>16</v>
      </c>
      <c r="D7" s="64" t="s">
        <v>44</v>
      </c>
      <c r="E7" s="64"/>
      <c r="F7" s="14"/>
      <c r="H7" s="5"/>
      <c r="I7" s="5"/>
      <c r="J7" s="14"/>
      <c r="U7" s="14"/>
      <c r="X7" s="1"/>
      <c r="Y7" s="1"/>
      <c r="Z7" s="1"/>
      <c r="AA7" s="1"/>
    </row>
    <row r="8" spans="1:28" s="4" customFormat="1" ht="21" x14ac:dyDescent="0.4">
      <c r="A8" s="23"/>
      <c r="B8" s="23"/>
      <c r="C8" s="15"/>
      <c r="D8" s="15"/>
      <c r="E8" s="15"/>
      <c r="H8" s="5"/>
      <c r="I8" s="5"/>
      <c r="X8" s="5"/>
      <c r="Z8" s="5"/>
      <c r="AA8" s="5"/>
    </row>
    <row r="9" spans="1:28" ht="15.6" x14ac:dyDescent="0.3">
      <c r="F9" s="16"/>
      <c r="K9" s="16"/>
      <c r="L9" s="16"/>
      <c r="M9" s="16"/>
      <c r="N9" s="16"/>
      <c r="O9" s="16"/>
      <c r="P9" s="16"/>
      <c r="Q9" s="16"/>
    </row>
    <row r="10" spans="1:28" s="34" customFormat="1" ht="122.55" customHeight="1" x14ac:dyDescent="0.25">
      <c r="A10" s="28" t="s">
        <v>18</v>
      </c>
      <c r="B10" s="29" t="s">
        <v>19</v>
      </c>
      <c r="C10" s="19" t="s">
        <v>20</v>
      </c>
      <c r="D10" s="20" t="s">
        <v>21</v>
      </c>
      <c r="E10" s="20" t="s">
        <v>22</v>
      </c>
      <c r="F10" s="20" t="s">
        <v>23</v>
      </c>
      <c r="G10" s="21" t="s">
        <v>24</v>
      </c>
      <c r="H10" s="21" t="s">
        <v>25</v>
      </c>
      <c r="I10" s="21" t="s">
        <v>26</v>
      </c>
      <c r="J10" s="27" t="s">
        <v>45</v>
      </c>
      <c r="K10" s="26" t="s">
        <v>28</v>
      </c>
      <c r="L10" s="26" t="s">
        <v>29</v>
      </c>
      <c r="M10" s="26" t="s">
        <v>30</v>
      </c>
      <c r="N10" s="26" t="s">
        <v>31</v>
      </c>
      <c r="O10" s="26" t="s">
        <v>32</v>
      </c>
      <c r="P10" s="26" t="s">
        <v>33</v>
      </c>
      <c r="Q10" s="26" t="s">
        <v>34</v>
      </c>
      <c r="R10" s="26" t="s">
        <v>35</v>
      </c>
      <c r="S10" s="26" t="s">
        <v>36</v>
      </c>
      <c r="T10" s="26" t="s">
        <v>37</v>
      </c>
      <c r="U10" s="30" t="s">
        <v>56</v>
      </c>
      <c r="V10" s="24" t="s">
        <v>38</v>
      </c>
      <c r="W10" s="24" t="s">
        <v>39</v>
      </c>
      <c r="X10" s="25" t="s">
        <v>40</v>
      </c>
      <c r="Y10" s="24" t="s">
        <v>41</v>
      </c>
      <c r="Z10" s="24" t="s">
        <v>42</v>
      </c>
      <c r="AA10" s="25" t="s">
        <v>43</v>
      </c>
      <c r="AB10" s="39" t="s">
        <v>13</v>
      </c>
    </row>
    <row r="11" spans="1:28" s="35" customFormat="1" x14ac:dyDescent="0.3">
      <c r="A11" s="17"/>
      <c r="B11" s="17"/>
      <c r="C11" s="17" t="s">
        <v>88</v>
      </c>
      <c r="D11" s="17" t="s">
        <v>90</v>
      </c>
      <c r="E11" s="17"/>
      <c r="F11" s="17" t="s">
        <v>89</v>
      </c>
      <c r="G11" s="17">
        <f t="shared" ref="G11:G35" si="0">IF(H11="E","E",(IF(C11="","",_xlfn.RANK.EQ($H11,$H$11:$H$35)+COUNTIFS($H$11:$H$35,$H11,$J$11:$J$35,"&gt;"&amp;$J11))))</f>
        <v>7</v>
      </c>
      <c r="H11" s="52">
        <f>IF(OpenInt[[#This Row],[RIDER]]="","",IF((COUNTIF(J11, "E")), "E", (SUM(J11+I11))))</f>
        <v>92</v>
      </c>
      <c r="I11" s="52">
        <f>IF(OpenInt[[#This Row],[RIDER]]="","",SUM(X11,AA11))</f>
        <v>15</v>
      </c>
      <c r="J11" s="42">
        <f>IF(OpenInt[[#This Row],[RIDER]]="","",IF(COUNTIF(K11:T11, "E"), "E", (SUM(K11:T11)-U11)))</f>
        <v>77</v>
      </c>
      <c r="K11" s="17">
        <v>10</v>
      </c>
      <c r="L11" s="17">
        <v>6</v>
      </c>
      <c r="M11" s="17">
        <v>10</v>
      </c>
      <c r="N11" s="17">
        <v>9</v>
      </c>
      <c r="O11" s="17">
        <v>10</v>
      </c>
      <c r="P11" s="17">
        <v>10</v>
      </c>
      <c r="Q11" s="17">
        <v>10</v>
      </c>
      <c r="R11" s="17">
        <v>2</v>
      </c>
      <c r="S11" s="17">
        <v>0</v>
      </c>
      <c r="T11" s="17">
        <v>10</v>
      </c>
      <c r="U11" s="17">
        <v>0</v>
      </c>
      <c r="V11" s="17">
        <v>18.8</v>
      </c>
      <c r="W11" s="17"/>
      <c r="X11" s="18">
        <f>IF(C11="","",IF(OR(OpenInt[[#This Row],[Outside/Broke (O/B)]]="O",OpenInt[[#This Row],[Outside/Broke (O/B)]]="B"),0,VLOOKUP((V11/MAlength*150),CanterScore,2,TRUE)))</f>
        <v>15</v>
      </c>
      <c r="Y11" s="17">
        <v>49.7</v>
      </c>
      <c r="Z11" s="17"/>
      <c r="AA11" s="18">
        <f>IF(C11="","",IF(OR(OpenInt[[#This Row],[Outside/Broke (O/B)2]]="O",OpenInt[[#This Row],[Outside/Broke (O/B)2]]="B"),0,IF((Y11/MAlength*150)=0, 0,IF((Y11/MAlength*150)&lt;'MA calc'!$A$4, 15, VLOOKUP((Y11/MAlength*150),WalkScore,2,TRUE)))))</f>
        <v>0</v>
      </c>
      <c r="AB11" s="17"/>
    </row>
    <row r="12" spans="1:28" s="35" customFormat="1" x14ac:dyDescent="0.3">
      <c r="A12" s="17"/>
      <c r="B12" s="17"/>
      <c r="C12" s="17" t="s">
        <v>73</v>
      </c>
      <c r="D12" s="17" t="s">
        <v>74</v>
      </c>
      <c r="E12" s="17"/>
      <c r="F12" s="17" t="s">
        <v>77</v>
      </c>
      <c r="G12" s="17">
        <f t="shared" si="0"/>
        <v>8</v>
      </c>
      <c r="H12" s="52">
        <f>IF(OpenInt[[#This Row],[RIDER]]="","",IF((COUNTIF(J12, "E")), "E", (SUM(J12+I12))))</f>
        <v>83</v>
      </c>
      <c r="I12" s="52">
        <f>IF(OpenInt[[#This Row],[RIDER]]="","",SUM(X12,AA12))</f>
        <v>2</v>
      </c>
      <c r="J12" s="42">
        <f>IF(OpenInt[[#This Row],[RIDER]]="","",IF(COUNTIF(K12:T12, "E"), "E", (SUM(K12:T12)-U12)))</f>
        <v>81</v>
      </c>
      <c r="K12" s="17">
        <v>4</v>
      </c>
      <c r="L12" s="17">
        <v>10</v>
      </c>
      <c r="M12" s="17">
        <v>7</v>
      </c>
      <c r="N12" s="17">
        <v>8</v>
      </c>
      <c r="O12" s="17">
        <v>10</v>
      </c>
      <c r="P12" s="17">
        <v>10</v>
      </c>
      <c r="Q12" s="17">
        <v>9</v>
      </c>
      <c r="R12" s="17">
        <v>5</v>
      </c>
      <c r="S12" s="17">
        <v>10</v>
      </c>
      <c r="T12" s="17">
        <v>8</v>
      </c>
      <c r="U12" s="17">
        <v>0</v>
      </c>
      <c r="V12" s="17">
        <v>17.5</v>
      </c>
      <c r="W12" s="17" t="s">
        <v>122</v>
      </c>
      <c r="X12" s="18">
        <f>IF(C12="","",IF(OR(OpenInt[[#This Row],[Outside/Broke (O/B)]]="O",OpenInt[[#This Row],[Outside/Broke (O/B)]]="B"),0,VLOOKUP((V12/MAlength*150),CanterScore,2,TRUE)))</f>
        <v>0</v>
      </c>
      <c r="Y12" s="17">
        <v>46.7</v>
      </c>
      <c r="Z12" s="17"/>
      <c r="AA12" s="18">
        <f>IF(C12="","",IF(OR(OpenInt[[#This Row],[Outside/Broke (O/B)2]]="O",OpenInt[[#This Row],[Outside/Broke (O/B)2]]="B"),0,IF((Y12/MAlength*150)=0, 0,IF((Y12/MAlength*150)&lt;'MA calc'!$A$4, 15, VLOOKUP((Y12/MAlength*150),WalkScore,2,TRUE)))))</f>
        <v>2</v>
      </c>
      <c r="AB12" s="17"/>
    </row>
    <row r="13" spans="1:28" s="35" customFormat="1" x14ac:dyDescent="0.3">
      <c r="A13" s="17"/>
      <c r="B13" s="17"/>
      <c r="C13" s="17" t="s">
        <v>94</v>
      </c>
      <c r="D13" s="17"/>
      <c r="E13" s="17"/>
      <c r="F13" s="17" t="s">
        <v>95</v>
      </c>
      <c r="G13" s="17">
        <f t="shared" si="0"/>
        <v>5</v>
      </c>
      <c r="H13" s="52">
        <f>IF(OpenInt[[#This Row],[RIDER]]="","",IF((COUNTIF(J13, "E")), "E", (SUM(J13+I13))))</f>
        <v>94.5</v>
      </c>
      <c r="I13" s="52">
        <f>IF(OpenInt[[#This Row],[RIDER]]="","",SUM(X13,AA13))</f>
        <v>7.5</v>
      </c>
      <c r="J13" s="42">
        <f>IF(OpenInt[[#This Row],[RIDER]]="","",IF(COUNTIF(K13:T13, "E"), "E", (SUM(K13:T13)-U13)))</f>
        <v>87</v>
      </c>
      <c r="K13" s="17">
        <v>7</v>
      </c>
      <c r="L13" s="17">
        <v>6</v>
      </c>
      <c r="M13" s="17">
        <v>9</v>
      </c>
      <c r="N13" s="17">
        <v>9</v>
      </c>
      <c r="O13" s="17">
        <v>10</v>
      </c>
      <c r="P13" s="17">
        <v>10</v>
      </c>
      <c r="Q13" s="17">
        <v>10</v>
      </c>
      <c r="R13" s="17">
        <v>7</v>
      </c>
      <c r="S13" s="17">
        <v>10</v>
      </c>
      <c r="T13" s="17">
        <v>9</v>
      </c>
      <c r="U13" s="17">
        <v>0</v>
      </c>
      <c r="V13" s="17">
        <v>15.8</v>
      </c>
      <c r="W13" s="17"/>
      <c r="X13" s="18">
        <f>IF(C13="","",IF(OR(OpenInt[[#This Row],[Outside/Broke (O/B)]]="O",OpenInt[[#This Row],[Outside/Broke (O/B)]]="B"),0,VLOOKUP((V13/MAlength*150),CanterScore,2,TRUE)))</f>
        <v>7.5</v>
      </c>
      <c r="Y13" s="17">
        <v>52.2</v>
      </c>
      <c r="Z13" s="17"/>
      <c r="AA13" s="18">
        <f>IF(C13="","",IF(OR(OpenInt[[#This Row],[Outside/Broke (O/B)2]]="O",OpenInt[[#This Row],[Outside/Broke (O/B)2]]="B"),0,IF((Y13/MAlength*150)=0, 0,IF((Y13/MAlength*150)&lt;'MA calc'!$A$4, 15, VLOOKUP((Y13/MAlength*150),WalkScore,2,TRUE)))))</f>
        <v>0</v>
      </c>
      <c r="AB13" s="17"/>
    </row>
    <row r="14" spans="1:28" s="35" customFormat="1" x14ac:dyDescent="0.3">
      <c r="A14" s="17"/>
      <c r="B14" s="17"/>
      <c r="C14" s="17" t="s">
        <v>103</v>
      </c>
      <c r="D14" s="17" t="s">
        <v>102</v>
      </c>
      <c r="E14" s="17"/>
      <c r="F14" s="17" t="s">
        <v>101</v>
      </c>
      <c r="G14" s="17">
        <f t="shared" si="0"/>
        <v>2</v>
      </c>
      <c r="H14" s="52">
        <f>IF(OpenInt[[#This Row],[RIDER]]="","",IF((COUNTIF(J14, "E")), "E", (SUM(J14+I14))))</f>
        <v>112</v>
      </c>
      <c r="I14" s="52">
        <f>IF(OpenInt[[#This Row],[RIDER]]="","",SUM(X14,AA14))</f>
        <v>18</v>
      </c>
      <c r="J14" s="42">
        <f>IF(OpenInt[[#This Row],[RIDER]]="","",IF(COUNTIF(K14:T14, "E"), "E", (SUM(K14:T14)-U14)))</f>
        <v>94</v>
      </c>
      <c r="K14" s="17">
        <v>10</v>
      </c>
      <c r="L14" s="17">
        <v>10</v>
      </c>
      <c r="M14" s="17">
        <v>9</v>
      </c>
      <c r="N14" s="17">
        <v>9</v>
      </c>
      <c r="O14" s="17">
        <v>10</v>
      </c>
      <c r="P14" s="17">
        <v>10</v>
      </c>
      <c r="Q14" s="17">
        <v>10</v>
      </c>
      <c r="R14" s="17">
        <v>7</v>
      </c>
      <c r="S14" s="17">
        <v>10</v>
      </c>
      <c r="T14" s="17">
        <v>9</v>
      </c>
      <c r="U14" s="17">
        <v>0</v>
      </c>
      <c r="V14" s="17">
        <v>17.7</v>
      </c>
      <c r="W14" s="17"/>
      <c r="X14" s="18">
        <f>IF(C14="","",IF(OR(OpenInt[[#This Row],[Outside/Broke (O/B)]]="O",OpenInt[[#This Row],[Outside/Broke (O/B)]]="B"),0,VLOOKUP((V14/MAlength*150),CanterScore,2,TRUE)))</f>
        <v>15</v>
      </c>
      <c r="Y14" s="17">
        <v>45.6</v>
      </c>
      <c r="Z14" s="17"/>
      <c r="AA14" s="18">
        <f>IF(C14="","",IF(OR(OpenInt[[#This Row],[Outside/Broke (O/B)2]]="O",OpenInt[[#This Row],[Outside/Broke (O/B)2]]="B"),0,IF((Y14/MAlength*150)=0, 0,IF((Y14/MAlength*150)&lt;'MA calc'!$A$4, 15, VLOOKUP((Y14/MAlength*150),WalkScore,2,TRUE)))))</f>
        <v>3</v>
      </c>
      <c r="AB14" s="17"/>
    </row>
    <row r="15" spans="1:28" s="35" customFormat="1" x14ac:dyDescent="0.3">
      <c r="A15" s="17"/>
      <c r="B15" s="17"/>
      <c r="C15" s="17" t="s">
        <v>104</v>
      </c>
      <c r="D15" s="17" t="s">
        <v>105</v>
      </c>
      <c r="E15" s="17"/>
      <c r="F15" s="17" t="s">
        <v>106</v>
      </c>
      <c r="G15" s="17">
        <f t="shared" si="0"/>
        <v>9</v>
      </c>
      <c r="H15" s="52">
        <f>IF(OpenInt[[#This Row],[RIDER]]="","",IF((COUNTIF(J15, "E")), "E", (SUM(J15+I15))))</f>
        <v>80</v>
      </c>
      <c r="I15" s="52">
        <f>IF(OpenInt[[#This Row],[RIDER]]="","",SUM(X15,AA15))</f>
        <v>14</v>
      </c>
      <c r="J15" s="42">
        <f>IF(OpenInt[[#This Row],[RIDER]]="","",IF(COUNTIF(K15:T15, "E"), "E", (SUM(K15:T15)-U15)))</f>
        <v>66</v>
      </c>
      <c r="K15" s="17">
        <v>10</v>
      </c>
      <c r="L15" s="17">
        <v>10</v>
      </c>
      <c r="M15" s="17">
        <v>6</v>
      </c>
      <c r="N15" s="17">
        <v>10</v>
      </c>
      <c r="O15" s="17">
        <v>10</v>
      </c>
      <c r="P15" s="17">
        <v>0</v>
      </c>
      <c r="Q15" s="17">
        <v>0</v>
      </c>
      <c r="R15" s="17">
        <v>4</v>
      </c>
      <c r="S15" s="17">
        <v>7</v>
      </c>
      <c r="T15" s="17">
        <v>9</v>
      </c>
      <c r="U15" s="17">
        <v>0</v>
      </c>
      <c r="V15" s="17">
        <v>16.399999999999999</v>
      </c>
      <c r="W15" s="17"/>
      <c r="X15" s="18">
        <f>IF(C15="","",IF(OR(OpenInt[[#This Row],[Outside/Broke (O/B)]]="O",OpenInt[[#This Row],[Outside/Broke (O/B)]]="B"),0,VLOOKUP((V15/MAlength*150),CanterScore,2,TRUE)))</f>
        <v>11.5</v>
      </c>
      <c r="Y15" s="17">
        <v>46.4</v>
      </c>
      <c r="Z15" s="17"/>
      <c r="AA15" s="18">
        <f>IF(C15="","",IF(OR(OpenInt[[#This Row],[Outside/Broke (O/B)2]]="O",OpenInt[[#This Row],[Outside/Broke (O/B)2]]="B"),0,IF((Y15/MAlength*150)=0, 0,IF((Y15/MAlength*150)&lt;'MA calc'!$A$4, 15, VLOOKUP((Y15/MAlength*150),WalkScore,2,TRUE)))))</f>
        <v>2.5</v>
      </c>
      <c r="AB15" s="17"/>
    </row>
    <row r="16" spans="1:28" s="35" customFormat="1" x14ac:dyDescent="0.3">
      <c r="A16" s="17"/>
      <c r="B16" s="17"/>
      <c r="C16" s="17" t="s">
        <v>109</v>
      </c>
      <c r="D16" s="17" t="s">
        <v>108</v>
      </c>
      <c r="E16" s="17"/>
      <c r="F16" s="17" t="s">
        <v>107</v>
      </c>
      <c r="G16" s="17">
        <f t="shared" si="0"/>
        <v>1</v>
      </c>
      <c r="H16" s="52">
        <f>IF(OpenInt[[#This Row],[RIDER]]="","",IF((COUNTIF(J16, "E")), "E", (SUM(J16+I16))))</f>
        <v>114</v>
      </c>
      <c r="I16" s="52">
        <f>IF(OpenInt[[#This Row],[RIDER]]="","",SUM(X16,AA16))</f>
        <v>17</v>
      </c>
      <c r="J16" s="42">
        <f>IF(OpenInt[[#This Row],[RIDER]]="","",IF(COUNTIF(K16:T16, "E"), "E", (SUM(K16:T16)-U16)))</f>
        <v>97</v>
      </c>
      <c r="K16" s="17">
        <v>10</v>
      </c>
      <c r="L16" s="17">
        <v>10</v>
      </c>
      <c r="M16" s="17">
        <v>10</v>
      </c>
      <c r="N16" s="17">
        <v>10</v>
      </c>
      <c r="O16" s="17">
        <v>10</v>
      </c>
      <c r="P16" s="17">
        <v>10</v>
      </c>
      <c r="Q16" s="17">
        <v>7</v>
      </c>
      <c r="R16" s="17">
        <v>10</v>
      </c>
      <c r="S16" s="17">
        <v>10</v>
      </c>
      <c r="T16" s="17">
        <v>10</v>
      </c>
      <c r="U16" s="17">
        <v>0</v>
      </c>
      <c r="V16" s="17">
        <v>17.899999999999999</v>
      </c>
      <c r="W16" s="17"/>
      <c r="X16" s="18">
        <f>IF(C16="","",IF(OR(OpenInt[[#This Row],[Outside/Broke (O/B)]]="O",OpenInt[[#This Row],[Outside/Broke (O/B)]]="B"),0,VLOOKUP((V16/MAlength*150),CanterScore,2,TRUE)))</f>
        <v>15</v>
      </c>
      <c r="Y16" s="17">
        <v>46.9</v>
      </c>
      <c r="Z16" s="17"/>
      <c r="AA16" s="18">
        <f>IF(C16="","",IF(OR(OpenInt[[#This Row],[Outside/Broke (O/B)2]]="O",OpenInt[[#This Row],[Outside/Broke (O/B)2]]="B"),0,IF((Y16/MAlength*150)=0, 0,IF((Y16/MAlength*150)&lt;'MA calc'!$A$4, 15, VLOOKUP((Y16/MAlength*150),WalkScore,2,TRUE)))))</f>
        <v>2</v>
      </c>
      <c r="AB16" s="17"/>
    </row>
    <row r="17" spans="1:28" s="35" customFormat="1" x14ac:dyDescent="0.3">
      <c r="A17" s="17"/>
      <c r="B17" s="17"/>
      <c r="C17" s="17" t="s">
        <v>110</v>
      </c>
      <c r="D17" s="17" t="s">
        <v>111</v>
      </c>
      <c r="E17" s="17"/>
      <c r="F17" s="17" t="s">
        <v>112</v>
      </c>
      <c r="G17" s="17">
        <f t="shared" si="0"/>
        <v>4</v>
      </c>
      <c r="H17" s="52">
        <f>IF(OpenInt[[#This Row],[RIDER]]="","",IF((COUNTIF(J17, "E")), "E", (SUM(J17+I17))))</f>
        <v>97</v>
      </c>
      <c r="I17" s="52">
        <f>IF(OpenInt[[#This Row],[RIDER]]="","",SUM(X17,AA17))</f>
        <v>21</v>
      </c>
      <c r="J17" s="42">
        <f>IF(OpenInt[[#This Row],[RIDER]]="","",IF(COUNTIF(K17:T17, "E"), "E", (SUM(K17:T17)-U17)))</f>
        <v>76</v>
      </c>
      <c r="K17" s="17">
        <v>10</v>
      </c>
      <c r="L17" s="17">
        <v>0</v>
      </c>
      <c r="M17" s="17">
        <v>9</v>
      </c>
      <c r="N17" s="17">
        <v>9</v>
      </c>
      <c r="O17" s="17">
        <v>10</v>
      </c>
      <c r="P17" s="17">
        <v>0</v>
      </c>
      <c r="Q17" s="17">
        <v>9</v>
      </c>
      <c r="R17" s="17">
        <v>10</v>
      </c>
      <c r="S17" s="17">
        <v>10</v>
      </c>
      <c r="T17" s="17">
        <v>9</v>
      </c>
      <c r="U17" s="17">
        <v>0</v>
      </c>
      <c r="V17" s="17">
        <v>17.3</v>
      </c>
      <c r="W17" s="17"/>
      <c r="X17" s="18">
        <f>IF(C17="","",IF(OR(OpenInt[[#This Row],[Outside/Broke (O/B)]]="O",OpenInt[[#This Row],[Outside/Broke (O/B)]]="B"),0,VLOOKUP((V17/MAlength*150),CanterScore,2,TRUE)))</f>
        <v>15</v>
      </c>
      <c r="Y17" s="17">
        <v>42.9</v>
      </c>
      <c r="Z17" s="17"/>
      <c r="AA17" s="18">
        <f>IF(C17="","",IF(OR(OpenInt[[#This Row],[Outside/Broke (O/B)2]]="O",OpenInt[[#This Row],[Outside/Broke (O/B)2]]="B"),0,IF((Y17/MAlength*150)=0, 0,IF((Y17/MAlength*150)&lt;'MA calc'!$A$4, 15, VLOOKUP((Y17/MAlength*150),WalkScore,2,TRUE)))))</f>
        <v>6</v>
      </c>
      <c r="AB17" s="17"/>
    </row>
    <row r="18" spans="1:28" s="35" customFormat="1" x14ac:dyDescent="0.3">
      <c r="A18" s="17"/>
      <c r="B18" s="17"/>
      <c r="C18" s="17" t="s">
        <v>99</v>
      </c>
      <c r="D18" s="17" t="s">
        <v>98</v>
      </c>
      <c r="E18" s="17"/>
      <c r="F18" s="17" t="s">
        <v>97</v>
      </c>
      <c r="G18" s="17">
        <f t="shared" si="0"/>
        <v>6</v>
      </c>
      <c r="H18" s="52">
        <f>IF(OpenInt[[#This Row],[RIDER]]="","",IF((COUNTIF(J18, "E")), "E", (SUM(J18+I18))))</f>
        <v>92.5</v>
      </c>
      <c r="I18" s="52">
        <f>IF(OpenInt[[#This Row],[RIDER]]="","",SUM(X18,AA18))</f>
        <v>11.5</v>
      </c>
      <c r="J18" s="42">
        <f>IF(OpenInt[[#This Row],[RIDER]]="","",IF(COUNTIF(K18:T18, "E"), "E", (SUM(K18:T18)-U18)))</f>
        <v>81</v>
      </c>
      <c r="K18" s="17">
        <v>7</v>
      </c>
      <c r="L18" s="17">
        <v>10</v>
      </c>
      <c r="M18" s="17">
        <v>9</v>
      </c>
      <c r="N18" s="17">
        <v>9</v>
      </c>
      <c r="O18" s="17">
        <v>0</v>
      </c>
      <c r="P18" s="17">
        <v>10</v>
      </c>
      <c r="Q18" s="17">
        <v>9</v>
      </c>
      <c r="R18" s="17">
        <v>7</v>
      </c>
      <c r="S18" s="17">
        <v>10</v>
      </c>
      <c r="T18" s="17">
        <v>10</v>
      </c>
      <c r="U18" s="17">
        <v>0</v>
      </c>
      <c r="V18" s="17">
        <v>16.399999999999999</v>
      </c>
      <c r="W18" s="17"/>
      <c r="X18" s="18">
        <f>IF(C18="","",IF(OR(OpenInt[[#This Row],[Outside/Broke (O/B)]]="O",OpenInt[[#This Row],[Outside/Broke (O/B)]]="B"),0,VLOOKUP((V18/MAlength*150),CanterScore,2,TRUE)))</f>
        <v>11.5</v>
      </c>
      <c r="Y18" s="17">
        <v>50.2</v>
      </c>
      <c r="Z18" s="17"/>
      <c r="AA18" s="18">
        <f>IF(C18="","",IF(OR(OpenInt[[#This Row],[Outside/Broke (O/B)2]]="O",OpenInt[[#This Row],[Outside/Broke (O/B)2]]="B"),0,IF((Y18/MAlength*150)=0, 0,IF((Y18/MAlength*150)&lt;'MA calc'!$A$4, 15, VLOOKUP((Y18/MAlength*150),WalkScore,2,TRUE)))))</f>
        <v>0</v>
      </c>
      <c r="AB18" s="17"/>
    </row>
    <row r="19" spans="1:28" s="35" customFormat="1" x14ac:dyDescent="0.3">
      <c r="A19" s="17"/>
      <c r="B19" s="17"/>
      <c r="C19" s="17" t="s">
        <v>113</v>
      </c>
      <c r="D19" s="17" t="s">
        <v>114</v>
      </c>
      <c r="E19" s="17"/>
      <c r="F19" s="17" t="s">
        <v>115</v>
      </c>
      <c r="G19" s="17">
        <f t="shared" si="0"/>
        <v>3</v>
      </c>
      <c r="H19" s="52">
        <f>IF(OpenInt[[#This Row],[RIDER]]="","",IF((COUNTIF(J19, "E")), "E", (SUM(J19+I19))))</f>
        <v>99</v>
      </c>
      <c r="I19" s="52">
        <f>IF(OpenInt[[#This Row],[RIDER]]="","",SUM(X19,AA19))</f>
        <v>23</v>
      </c>
      <c r="J19" s="42">
        <f>IF(OpenInt[[#This Row],[RIDER]]="","",IF(COUNTIF(K19:T19, "E"), "E", (SUM(K19:T19)-U19)))</f>
        <v>76</v>
      </c>
      <c r="K19" s="17">
        <v>10</v>
      </c>
      <c r="L19" s="17">
        <v>6</v>
      </c>
      <c r="M19" s="17">
        <v>6</v>
      </c>
      <c r="N19" s="17">
        <v>10</v>
      </c>
      <c r="O19" s="17">
        <v>8</v>
      </c>
      <c r="P19" s="17">
        <v>10</v>
      </c>
      <c r="Q19" s="17">
        <v>6</v>
      </c>
      <c r="R19" s="17">
        <v>10</v>
      </c>
      <c r="S19" s="17">
        <v>10</v>
      </c>
      <c r="T19" s="17">
        <v>0</v>
      </c>
      <c r="U19" s="17">
        <v>0</v>
      </c>
      <c r="V19" s="17">
        <v>16.2</v>
      </c>
      <c r="W19" s="17"/>
      <c r="X19" s="18">
        <f>IF(C19="","",IF(OR(OpenInt[[#This Row],[Outside/Broke (O/B)]]="O",OpenInt[[#This Row],[Outside/Broke (O/B)]]="B"),0,VLOOKUP((V19/MAlength*150),CanterScore,2,TRUE)))</f>
        <v>10.5</v>
      </c>
      <c r="Y19" s="17">
        <v>36.200000000000003</v>
      </c>
      <c r="Z19" s="17"/>
      <c r="AA19" s="18">
        <f>IF(C19="","",IF(OR(OpenInt[[#This Row],[Outside/Broke (O/B)2]]="O",OpenInt[[#This Row],[Outside/Broke (O/B)2]]="B"),0,IF((Y19/MAlength*150)=0, 0,IF((Y19/MAlength*150)&lt;'MA calc'!$A$4, 15, VLOOKUP((Y19/MAlength*150),WalkScore,2,TRUE)))))</f>
        <v>12.5</v>
      </c>
      <c r="AB19" s="17"/>
    </row>
    <row r="20" spans="1:28" s="35" customFormat="1" x14ac:dyDescent="0.3">
      <c r="A20" s="17"/>
      <c r="B20" s="17"/>
      <c r="C20" s="17" t="s">
        <v>118</v>
      </c>
      <c r="D20" s="17" t="s">
        <v>117</v>
      </c>
      <c r="E20" s="17"/>
      <c r="F20" s="17" t="s">
        <v>116</v>
      </c>
      <c r="G20" s="17">
        <f t="shared" si="0"/>
        <v>10</v>
      </c>
      <c r="H20" s="52">
        <f>IF(OpenInt[[#This Row],[RIDER]]="","",IF((COUNTIF(J20, "E")), "E", (SUM(J20+I20))))</f>
        <v>0</v>
      </c>
      <c r="I20" s="52">
        <f>IF(OpenInt[[#This Row],[RIDER]]="","",SUM(X20,AA20))</f>
        <v>0</v>
      </c>
      <c r="J20" s="42">
        <f>IF(OpenInt[[#This Row],[RIDER]]="","",IF(COUNTIF(K20:T20, "E"), "E", (SUM(K20:T20)-U20)))</f>
        <v>0</v>
      </c>
      <c r="K20" s="17">
        <v>0</v>
      </c>
      <c r="L20" s="17">
        <v>0</v>
      </c>
      <c r="M20" s="17">
        <v>0</v>
      </c>
      <c r="N20" s="17">
        <v>0</v>
      </c>
      <c r="O20" s="17">
        <v>0</v>
      </c>
      <c r="P20" s="17">
        <v>0</v>
      </c>
      <c r="Q20" s="17">
        <v>0</v>
      </c>
      <c r="R20" s="17">
        <v>0</v>
      </c>
      <c r="S20" s="17">
        <v>0</v>
      </c>
      <c r="T20" s="17">
        <v>0</v>
      </c>
      <c r="U20" s="17">
        <v>0</v>
      </c>
      <c r="V20" s="17"/>
      <c r="W20" s="17"/>
      <c r="X20" s="18">
        <f>IF(C20="","",IF(OR(OpenInt[[#This Row],[Outside/Broke (O/B)]]="O",OpenInt[[#This Row],[Outside/Broke (O/B)]]="B"),0,VLOOKUP((V20/MAlength*150),CanterScore,2,TRUE)))</f>
        <v>0</v>
      </c>
      <c r="Y20" s="17"/>
      <c r="Z20" s="17"/>
      <c r="AA20" s="18">
        <f>IF(C20="","",IF(OR(OpenInt[[#This Row],[Outside/Broke (O/B)2]]="O",OpenInt[[#This Row],[Outside/Broke (O/B)2]]="B"),0,IF((Y20/MAlength*150)=0, 0,IF((Y20/MAlength*150)&lt;'MA calc'!$A$4, 15, VLOOKUP((Y20/MAlength*150),WalkScore,2,TRUE)))))</f>
        <v>0</v>
      </c>
      <c r="AB20" s="17"/>
    </row>
    <row r="21" spans="1:28" s="35" customFormat="1" x14ac:dyDescent="0.3">
      <c r="A21" s="17"/>
      <c r="B21" s="17"/>
      <c r="C21" s="17"/>
      <c r="D21" s="17"/>
      <c r="E21" s="17"/>
      <c r="F21" s="17"/>
      <c r="G21" s="17" t="str">
        <f t="shared" si="0"/>
        <v/>
      </c>
      <c r="H21" s="52" t="str">
        <f>IF(OpenInt[[#This Row],[RIDER]]="","",IF((COUNTIF(J21, "E")), "E", (SUM(J21+I21))))</f>
        <v/>
      </c>
      <c r="I21" s="52" t="str">
        <f>IF(OpenInt[[#This Row],[RIDER]]="","",SUM(X21,AA21))</f>
        <v/>
      </c>
      <c r="J21" s="42" t="str">
        <f>IF(OpenInt[[#This Row],[RIDER]]="","",IF(COUNTIF(K21:T21, "E"), "E", (SUM(K21:T21)-U21)))</f>
        <v/>
      </c>
      <c r="K21" s="17">
        <v>0</v>
      </c>
      <c r="L21" s="17">
        <v>0</v>
      </c>
      <c r="M21" s="17">
        <v>0</v>
      </c>
      <c r="N21" s="17">
        <v>0</v>
      </c>
      <c r="O21" s="17">
        <v>0</v>
      </c>
      <c r="P21" s="17">
        <v>0</v>
      </c>
      <c r="Q21" s="17">
        <v>0</v>
      </c>
      <c r="R21" s="17">
        <v>0</v>
      </c>
      <c r="S21" s="17">
        <v>0</v>
      </c>
      <c r="T21" s="17">
        <v>0</v>
      </c>
      <c r="U21" s="17">
        <v>0</v>
      </c>
      <c r="V21" s="17"/>
      <c r="W21" s="17"/>
      <c r="X21" s="18" t="str">
        <f>IF(C21="","",IF(OR(OpenInt[[#This Row],[Outside/Broke (O/B)]]="O",OpenInt[[#This Row],[Outside/Broke (O/B)]]="B"),0,VLOOKUP((V21/MAlength*150),CanterScore,2,TRUE)))</f>
        <v/>
      </c>
      <c r="Y21" s="17"/>
      <c r="Z21" s="17"/>
      <c r="AA21" s="18" t="str">
        <f>IF(C21="","",IF(OR(OpenInt[[#This Row],[Outside/Broke (O/B)2]]="O",OpenInt[[#This Row],[Outside/Broke (O/B)2]]="B"),0,IF((Y21/MAlength*150)=0, 0,IF((Y21/MAlength*150)&lt;'MA calc'!$A$4, 15, VLOOKUP((Y21/MAlength*150),WalkScore,2,TRUE)))))</f>
        <v/>
      </c>
      <c r="AB21" s="17"/>
    </row>
    <row r="22" spans="1:28" s="35" customFormat="1" x14ac:dyDescent="0.3">
      <c r="A22" s="17"/>
      <c r="B22" s="17"/>
      <c r="C22" s="17"/>
      <c r="D22" s="17"/>
      <c r="E22" s="17"/>
      <c r="F22" s="17"/>
      <c r="G22" s="17" t="str">
        <f t="shared" si="0"/>
        <v/>
      </c>
      <c r="H22" s="52" t="str">
        <f>IF(OpenInt[[#This Row],[RIDER]]="","",IF((COUNTIF(J22, "E")), "E", (SUM(J22+I22))))</f>
        <v/>
      </c>
      <c r="I22" s="52" t="str">
        <f>IF(OpenInt[[#This Row],[RIDER]]="","",SUM(X22,AA22))</f>
        <v/>
      </c>
      <c r="J22" s="42" t="str">
        <f>IF(OpenInt[[#This Row],[RIDER]]="","",IF(COUNTIF(K22:T22, "E"), "E", (SUM(K22:T22)-U22)))</f>
        <v/>
      </c>
      <c r="K22" s="17">
        <v>0</v>
      </c>
      <c r="L22" s="17">
        <v>0</v>
      </c>
      <c r="M22" s="17">
        <v>0</v>
      </c>
      <c r="N22" s="17">
        <v>0</v>
      </c>
      <c r="O22" s="17">
        <v>0</v>
      </c>
      <c r="P22" s="17">
        <v>0</v>
      </c>
      <c r="Q22" s="17">
        <v>0</v>
      </c>
      <c r="R22" s="17">
        <v>0</v>
      </c>
      <c r="S22" s="17">
        <v>0</v>
      </c>
      <c r="T22" s="17">
        <v>0</v>
      </c>
      <c r="U22" s="17">
        <v>0</v>
      </c>
      <c r="V22" s="17"/>
      <c r="W22" s="17"/>
      <c r="X22" s="18" t="str">
        <f>IF(C22="","",IF(OR(OpenInt[[#This Row],[Outside/Broke (O/B)]]="O",OpenInt[[#This Row],[Outside/Broke (O/B)]]="B"),0,VLOOKUP((V22/MAlength*150),CanterScore,2,TRUE)))</f>
        <v/>
      </c>
      <c r="Y22" s="17"/>
      <c r="Z22" s="17"/>
      <c r="AA22" s="18" t="str">
        <f>IF(C22="","",IF(OR(OpenInt[[#This Row],[Outside/Broke (O/B)2]]="O",OpenInt[[#This Row],[Outside/Broke (O/B)2]]="B"),0,IF((Y22/MAlength*150)=0, 0,IF((Y22/MAlength*150)&lt;'MA calc'!$A$4, 15, VLOOKUP((Y22/MAlength*150),WalkScore,2,TRUE)))))</f>
        <v/>
      </c>
      <c r="AB22" s="17"/>
    </row>
    <row r="23" spans="1:28" s="35" customFormat="1" x14ac:dyDescent="0.3">
      <c r="A23" s="17"/>
      <c r="B23" s="17"/>
      <c r="C23" s="17"/>
      <c r="D23" s="17"/>
      <c r="E23" s="17"/>
      <c r="F23" s="17"/>
      <c r="G23" s="17" t="str">
        <f t="shared" si="0"/>
        <v/>
      </c>
      <c r="H23" s="52" t="str">
        <f>IF(OpenInt[[#This Row],[RIDER]]="","",IF((COUNTIF(J23, "E")), "E", (SUM(J23+I23))))</f>
        <v/>
      </c>
      <c r="I23" s="52" t="str">
        <f>IF(OpenInt[[#This Row],[RIDER]]="","",SUM(X23,AA23))</f>
        <v/>
      </c>
      <c r="J23" s="42" t="str">
        <f>IF(OpenInt[[#This Row],[RIDER]]="","",IF(COUNTIF(K23:T23, "E"), "E", (SUM(K23:T23)-U23)))</f>
        <v/>
      </c>
      <c r="K23" s="17">
        <v>0</v>
      </c>
      <c r="L23" s="17">
        <v>0</v>
      </c>
      <c r="M23" s="17">
        <v>0</v>
      </c>
      <c r="N23" s="17">
        <v>0</v>
      </c>
      <c r="O23" s="17">
        <v>0</v>
      </c>
      <c r="P23" s="17">
        <v>0</v>
      </c>
      <c r="Q23" s="17">
        <v>0</v>
      </c>
      <c r="R23" s="17">
        <v>0</v>
      </c>
      <c r="S23" s="17">
        <v>0</v>
      </c>
      <c r="T23" s="17">
        <v>0</v>
      </c>
      <c r="U23" s="17">
        <v>0</v>
      </c>
      <c r="V23" s="17"/>
      <c r="W23" s="17"/>
      <c r="X23" s="18" t="str">
        <f>IF(C23="","",IF(OR(OpenInt[[#This Row],[Outside/Broke (O/B)]]="O",OpenInt[[#This Row],[Outside/Broke (O/B)]]="B"),0,VLOOKUP((V23/MAlength*150),CanterScore,2,TRUE)))</f>
        <v/>
      </c>
      <c r="Y23" s="17"/>
      <c r="Z23" s="17"/>
      <c r="AA23" s="18" t="str">
        <f>IF(C23="","",IF(OR(OpenInt[[#This Row],[Outside/Broke (O/B)2]]="O",OpenInt[[#This Row],[Outside/Broke (O/B)2]]="B"),0,IF((Y23/MAlength*150)=0, 0,IF((Y23/MAlength*150)&lt;'MA calc'!$A$4, 15, VLOOKUP((Y23/MAlength*150),WalkScore,2,TRUE)))))</f>
        <v/>
      </c>
      <c r="AB23" s="17"/>
    </row>
    <row r="24" spans="1:28" s="35" customFormat="1" x14ac:dyDescent="0.3">
      <c r="A24" s="17"/>
      <c r="B24" s="17"/>
      <c r="C24" s="17"/>
      <c r="D24" s="17"/>
      <c r="E24" s="17"/>
      <c r="F24" s="17"/>
      <c r="G24" s="17" t="str">
        <f t="shared" si="0"/>
        <v/>
      </c>
      <c r="H24" s="52" t="str">
        <f>IF(OpenInt[[#This Row],[RIDER]]="","",IF((COUNTIF(J24, "E")), "E", (SUM(J24+I24))))</f>
        <v/>
      </c>
      <c r="I24" s="52" t="str">
        <f>IF(OpenInt[[#This Row],[RIDER]]="","",SUM(X24,AA24))</f>
        <v/>
      </c>
      <c r="J24" s="42" t="str">
        <f>IF(OpenInt[[#This Row],[RIDER]]="","",IF(COUNTIF(K24:T24, "E"), "E", (SUM(K24:T24)-U24)))</f>
        <v/>
      </c>
      <c r="K24" s="17">
        <v>0</v>
      </c>
      <c r="L24" s="17">
        <v>0</v>
      </c>
      <c r="M24" s="17">
        <v>0</v>
      </c>
      <c r="N24" s="17">
        <v>0</v>
      </c>
      <c r="O24" s="17">
        <v>0</v>
      </c>
      <c r="P24" s="17">
        <v>0</v>
      </c>
      <c r="Q24" s="17">
        <v>0</v>
      </c>
      <c r="R24" s="17">
        <v>0</v>
      </c>
      <c r="S24" s="17">
        <v>0</v>
      </c>
      <c r="T24" s="17">
        <v>0</v>
      </c>
      <c r="U24" s="17">
        <v>0</v>
      </c>
      <c r="V24" s="17"/>
      <c r="W24" s="17"/>
      <c r="X24" s="18" t="str">
        <f>IF(C24="","",IF(OR(OpenInt[[#This Row],[Outside/Broke (O/B)]]="O",OpenInt[[#This Row],[Outside/Broke (O/B)]]="B"),0,VLOOKUP((V24/MAlength*150),CanterScore,2,TRUE)))</f>
        <v/>
      </c>
      <c r="Y24" s="17"/>
      <c r="Z24" s="17"/>
      <c r="AA24" s="18" t="str">
        <f>IF(C24="","",IF(OR(OpenInt[[#This Row],[Outside/Broke (O/B)2]]="O",OpenInt[[#This Row],[Outside/Broke (O/B)2]]="B"),0,IF((Y24/MAlength*150)=0, 0,IF((Y24/MAlength*150)&lt;'MA calc'!$A$4, 15, VLOOKUP((Y24/MAlength*150),WalkScore,2,TRUE)))))</f>
        <v/>
      </c>
      <c r="AB24" s="17"/>
    </row>
    <row r="25" spans="1:28" s="35" customFormat="1" x14ac:dyDescent="0.3">
      <c r="A25" s="17"/>
      <c r="B25" s="17"/>
      <c r="C25" s="17"/>
      <c r="D25" s="17"/>
      <c r="E25" s="17"/>
      <c r="F25" s="17"/>
      <c r="G25" s="17" t="str">
        <f t="shared" si="0"/>
        <v/>
      </c>
      <c r="H25" s="52" t="str">
        <f>IF(OpenInt[[#This Row],[RIDER]]="","",IF((COUNTIF(J25, "E")), "E", (SUM(J25+I25))))</f>
        <v/>
      </c>
      <c r="I25" s="52" t="str">
        <f>IF(OpenInt[[#This Row],[RIDER]]="","",SUM(X25,AA25))</f>
        <v/>
      </c>
      <c r="J25" s="42" t="str">
        <f>IF(OpenInt[[#This Row],[RIDER]]="","",IF(COUNTIF(K25:T25, "E"), "E", (SUM(K25:T25)-U25)))</f>
        <v/>
      </c>
      <c r="K25" s="17">
        <v>0</v>
      </c>
      <c r="L25" s="17">
        <v>0</v>
      </c>
      <c r="M25" s="17">
        <v>0</v>
      </c>
      <c r="N25" s="17">
        <v>0</v>
      </c>
      <c r="O25" s="17">
        <v>0</v>
      </c>
      <c r="P25" s="17">
        <v>0</v>
      </c>
      <c r="Q25" s="17">
        <v>0</v>
      </c>
      <c r="R25" s="17">
        <v>0</v>
      </c>
      <c r="S25" s="17">
        <v>0</v>
      </c>
      <c r="T25" s="17">
        <v>0</v>
      </c>
      <c r="U25" s="17">
        <v>0</v>
      </c>
      <c r="V25" s="17"/>
      <c r="W25" s="17"/>
      <c r="X25" s="18" t="str">
        <f>IF(C25="","",IF(OR(OpenInt[[#This Row],[Outside/Broke (O/B)]]="O",OpenInt[[#This Row],[Outside/Broke (O/B)]]="B"),0,VLOOKUP((V25/MAlength*150),CanterScore,2,TRUE)))</f>
        <v/>
      </c>
      <c r="Y25" s="17"/>
      <c r="Z25" s="17"/>
      <c r="AA25" s="18" t="str">
        <f>IF(C25="","",IF(OR(OpenInt[[#This Row],[Outside/Broke (O/B)2]]="O",OpenInt[[#This Row],[Outside/Broke (O/B)2]]="B"),0,IF((Y25/MAlength*150)=0, 0,IF((Y25/MAlength*150)&lt;'MA calc'!$A$4, 15, VLOOKUP((Y25/MAlength*150),WalkScore,2,TRUE)))))</f>
        <v/>
      </c>
      <c r="AB25" s="17"/>
    </row>
    <row r="26" spans="1:28" s="35" customFormat="1" x14ac:dyDescent="0.3">
      <c r="A26" s="17"/>
      <c r="B26" s="17"/>
      <c r="C26" s="17"/>
      <c r="D26" s="17"/>
      <c r="E26" s="17"/>
      <c r="F26" s="17"/>
      <c r="G26" s="17" t="str">
        <f t="shared" si="0"/>
        <v/>
      </c>
      <c r="H26" s="52" t="str">
        <f>IF(OpenInt[[#This Row],[RIDER]]="","",IF((COUNTIF(J26, "E")), "E", (SUM(J26+I26))))</f>
        <v/>
      </c>
      <c r="I26" s="52" t="str">
        <f>IF(OpenInt[[#This Row],[RIDER]]="","",SUM(X26,AA26))</f>
        <v/>
      </c>
      <c r="J26" s="42" t="str">
        <f>IF(OpenInt[[#This Row],[RIDER]]="","",IF(COUNTIF(K26:T26, "E"), "E", (SUM(K26:T26)-U26)))</f>
        <v/>
      </c>
      <c r="K26" s="17">
        <v>0</v>
      </c>
      <c r="L26" s="17">
        <v>0</v>
      </c>
      <c r="M26" s="17">
        <v>0</v>
      </c>
      <c r="N26" s="17">
        <v>0</v>
      </c>
      <c r="O26" s="17">
        <v>0</v>
      </c>
      <c r="P26" s="17">
        <v>0</v>
      </c>
      <c r="Q26" s="17">
        <v>0</v>
      </c>
      <c r="R26" s="17">
        <v>0</v>
      </c>
      <c r="S26" s="17">
        <v>0</v>
      </c>
      <c r="T26" s="17">
        <v>0</v>
      </c>
      <c r="U26" s="17">
        <v>0</v>
      </c>
      <c r="V26" s="17"/>
      <c r="W26" s="17"/>
      <c r="X26" s="18" t="str">
        <f>IF(C26="","",IF(OR(OpenInt[[#This Row],[Outside/Broke (O/B)]]="O",OpenInt[[#This Row],[Outside/Broke (O/B)]]="B"),0,VLOOKUP((V26/MAlength*150),CanterScore,2,TRUE)))</f>
        <v/>
      </c>
      <c r="Y26" s="17"/>
      <c r="Z26" s="17"/>
      <c r="AA26" s="18" t="str">
        <f>IF(C26="","",IF(OR(OpenInt[[#This Row],[Outside/Broke (O/B)2]]="O",OpenInt[[#This Row],[Outside/Broke (O/B)2]]="B"),0,IF((Y26/MAlength*150)=0, 0,IF((Y26/MAlength*150)&lt;'MA calc'!$A$4, 15, VLOOKUP((Y26/MAlength*150),WalkScore,2,TRUE)))))</f>
        <v/>
      </c>
      <c r="AB26" s="17"/>
    </row>
    <row r="27" spans="1:28" s="35" customFormat="1" x14ac:dyDescent="0.3">
      <c r="A27" s="17"/>
      <c r="B27" s="17"/>
      <c r="C27" s="17"/>
      <c r="D27" s="17"/>
      <c r="E27" s="17"/>
      <c r="F27" s="17"/>
      <c r="G27" s="17" t="str">
        <f t="shared" si="0"/>
        <v/>
      </c>
      <c r="H27" s="52" t="str">
        <f>IF(OpenInt[[#This Row],[RIDER]]="","",IF((COUNTIF(J27, "E")), "E", (SUM(J27+I27))))</f>
        <v/>
      </c>
      <c r="I27" s="52" t="str">
        <f>IF(OpenInt[[#This Row],[RIDER]]="","",SUM(X27,AA27))</f>
        <v/>
      </c>
      <c r="J27" s="42" t="str">
        <f>IF(OpenInt[[#This Row],[RIDER]]="","",IF(COUNTIF(K27:T27, "E"), "E", (SUM(K27:T27)-U27)))</f>
        <v/>
      </c>
      <c r="K27" s="17">
        <v>0</v>
      </c>
      <c r="L27" s="17">
        <v>0</v>
      </c>
      <c r="M27" s="17">
        <v>0</v>
      </c>
      <c r="N27" s="17">
        <v>0</v>
      </c>
      <c r="O27" s="17">
        <v>0</v>
      </c>
      <c r="P27" s="17">
        <v>0</v>
      </c>
      <c r="Q27" s="17">
        <v>0</v>
      </c>
      <c r="R27" s="17">
        <v>0</v>
      </c>
      <c r="S27" s="17">
        <v>0</v>
      </c>
      <c r="T27" s="17">
        <v>0</v>
      </c>
      <c r="U27" s="17">
        <v>0</v>
      </c>
      <c r="V27" s="17"/>
      <c r="W27" s="17"/>
      <c r="X27" s="18" t="str">
        <f>IF(C27="","",IF(OR(OpenInt[[#This Row],[Outside/Broke (O/B)]]="O",OpenInt[[#This Row],[Outside/Broke (O/B)]]="B"),0,VLOOKUP((V27/MAlength*150),CanterScore,2,TRUE)))</f>
        <v/>
      </c>
      <c r="Y27" s="17"/>
      <c r="Z27" s="17"/>
      <c r="AA27" s="18" t="str">
        <f>IF(C27="","",IF(OR(OpenInt[[#This Row],[Outside/Broke (O/B)2]]="O",OpenInt[[#This Row],[Outside/Broke (O/B)2]]="B"),0,IF((Y27/MAlength*150)=0, 0,IF((Y27/MAlength*150)&lt;'MA calc'!$A$4, 15, VLOOKUP((Y27/MAlength*150),WalkScore,2,TRUE)))))</f>
        <v/>
      </c>
      <c r="AB27" s="17"/>
    </row>
    <row r="28" spans="1:28" s="35" customFormat="1" x14ac:dyDescent="0.3">
      <c r="A28" s="17"/>
      <c r="B28" s="17"/>
      <c r="C28" s="17"/>
      <c r="D28" s="17"/>
      <c r="E28" s="17"/>
      <c r="F28" s="17"/>
      <c r="G28" s="17" t="str">
        <f t="shared" si="0"/>
        <v/>
      </c>
      <c r="H28" s="52" t="str">
        <f>IF(OpenInt[[#This Row],[RIDER]]="","",IF((COUNTIF(J28, "E")), "E", (SUM(J28+I28))))</f>
        <v/>
      </c>
      <c r="I28" s="52" t="str">
        <f>IF(OpenInt[[#This Row],[RIDER]]="","",SUM(X28,AA28))</f>
        <v/>
      </c>
      <c r="J28" s="42" t="str">
        <f>IF(OpenInt[[#This Row],[RIDER]]="","",IF(COUNTIF(K28:T28, "E"), "E", (SUM(K28:T28)-U28)))</f>
        <v/>
      </c>
      <c r="K28" s="17">
        <v>0</v>
      </c>
      <c r="L28" s="17">
        <v>0</v>
      </c>
      <c r="M28" s="17">
        <v>0</v>
      </c>
      <c r="N28" s="17">
        <v>0</v>
      </c>
      <c r="O28" s="17">
        <v>0</v>
      </c>
      <c r="P28" s="17">
        <v>0</v>
      </c>
      <c r="Q28" s="17">
        <v>0</v>
      </c>
      <c r="R28" s="17">
        <v>0</v>
      </c>
      <c r="S28" s="17">
        <v>0</v>
      </c>
      <c r="T28" s="17">
        <v>0</v>
      </c>
      <c r="U28" s="17">
        <v>0</v>
      </c>
      <c r="V28" s="17"/>
      <c r="W28" s="17"/>
      <c r="X28" s="18" t="str">
        <f>IF(C28="","",IF(OR(OpenInt[[#This Row],[Outside/Broke (O/B)]]="O",OpenInt[[#This Row],[Outside/Broke (O/B)]]="B"),0,VLOOKUP((V28/MAlength*150),CanterScore,2,TRUE)))</f>
        <v/>
      </c>
      <c r="Y28" s="17"/>
      <c r="Z28" s="17"/>
      <c r="AA28" s="18" t="str">
        <f>IF(C28="","",IF(OR(OpenInt[[#This Row],[Outside/Broke (O/B)2]]="O",OpenInt[[#This Row],[Outside/Broke (O/B)2]]="B"),0,IF((Y28/MAlength*150)=0, 0,IF((Y28/MAlength*150)&lt;'MA calc'!$A$4, 15, VLOOKUP((Y28/MAlength*150),WalkScore,2,TRUE)))))</f>
        <v/>
      </c>
      <c r="AB28" s="17"/>
    </row>
    <row r="29" spans="1:28" s="35" customFormat="1" x14ac:dyDescent="0.3">
      <c r="A29" s="17"/>
      <c r="B29" s="17"/>
      <c r="C29" s="17"/>
      <c r="D29" s="17"/>
      <c r="E29" s="17"/>
      <c r="F29" s="17"/>
      <c r="G29" s="17" t="str">
        <f t="shared" si="0"/>
        <v/>
      </c>
      <c r="H29" s="52" t="str">
        <f>IF(OpenInt[[#This Row],[RIDER]]="","",IF((COUNTIF(J29, "E")), "E", (SUM(J29+I29))))</f>
        <v/>
      </c>
      <c r="I29" s="52" t="str">
        <f>IF(OpenInt[[#This Row],[RIDER]]="","",SUM(X29,AA29))</f>
        <v/>
      </c>
      <c r="J29" s="42" t="str">
        <f>IF(OpenInt[[#This Row],[RIDER]]="","",IF(COUNTIF(K29:T29, "E"), "E", (SUM(K29:T29)-U29)))</f>
        <v/>
      </c>
      <c r="K29" s="17">
        <v>0</v>
      </c>
      <c r="L29" s="17">
        <v>0</v>
      </c>
      <c r="M29" s="17">
        <v>0</v>
      </c>
      <c r="N29" s="17">
        <v>0</v>
      </c>
      <c r="O29" s="17">
        <v>0</v>
      </c>
      <c r="P29" s="17">
        <v>0</v>
      </c>
      <c r="Q29" s="17">
        <v>0</v>
      </c>
      <c r="R29" s="17">
        <v>0</v>
      </c>
      <c r="S29" s="17">
        <v>0</v>
      </c>
      <c r="T29" s="17">
        <v>0</v>
      </c>
      <c r="U29" s="17">
        <v>0</v>
      </c>
      <c r="V29" s="17"/>
      <c r="W29" s="17"/>
      <c r="X29" s="18" t="str">
        <f>IF(C29="","",IF(OR(OpenInt[[#This Row],[Outside/Broke (O/B)]]="O",OpenInt[[#This Row],[Outside/Broke (O/B)]]="B"),0,VLOOKUP((V29/MAlength*150),CanterScore,2,TRUE)))</f>
        <v/>
      </c>
      <c r="Y29" s="17"/>
      <c r="Z29" s="17"/>
      <c r="AA29" s="18" t="str">
        <f>IF(C29="","",IF(OR(OpenInt[[#This Row],[Outside/Broke (O/B)2]]="O",OpenInt[[#This Row],[Outside/Broke (O/B)2]]="B"),0,IF((Y29/MAlength*150)=0, 0,IF((Y29/MAlength*150)&lt;'MA calc'!$A$4, 15, VLOOKUP((Y29/MAlength*150),WalkScore,2,TRUE)))))</f>
        <v/>
      </c>
      <c r="AB29" s="17"/>
    </row>
    <row r="30" spans="1:28" s="35" customFormat="1" x14ac:dyDescent="0.3">
      <c r="A30" s="17"/>
      <c r="B30" s="17"/>
      <c r="C30" s="17"/>
      <c r="D30" s="17"/>
      <c r="E30" s="17"/>
      <c r="F30" s="17"/>
      <c r="G30" s="17" t="str">
        <f t="shared" si="0"/>
        <v/>
      </c>
      <c r="H30" s="52" t="str">
        <f>IF(OpenInt[[#This Row],[RIDER]]="","",IF((COUNTIF(J30, "E")), "E", (SUM(J30+I30))))</f>
        <v/>
      </c>
      <c r="I30" s="52" t="str">
        <f>IF(OpenInt[[#This Row],[RIDER]]="","",SUM(X30,AA30))</f>
        <v/>
      </c>
      <c r="J30" s="42" t="str">
        <f>IF(OpenInt[[#This Row],[RIDER]]="","",IF(COUNTIF(K30:T30, "E"), "E", (SUM(K30:T30)-U30)))</f>
        <v/>
      </c>
      <c r="K30" s="17">
        <v>0</v>
      </c>
      <c r="L30" s="17">
        <v>0</v>
      </c>
      <c r="M30" s="17">
        <v>0</v>
      </c>
      <c r="N30" s="17">
        <v>0</v>
      </c>
      <c r="O30" s="17">
        <v>0</v>
      </c>
      <c r="P30" s="17">
        <v>0</v>
      </c>
      <c r="Q30" s="17">
        <v>0</v>
      </c>
      <c r="R30" s="17">
        <v>0</v>
      </c>
      <c r="S30" s="17">
        <v>0</v>
      </c>
      <c r="T30" s="17">
        <v>0</v>
      </c>
      <c r="U30" s="17">
        <v>0</v>
      </c>
      <c r="V30" s="17"/>
      <c r="W30" s="17"/>
      <c r="X30" s="18" t="str">
        <f>IF(C30="","",IF(OR(OpenInt[[#This Row],[Outside/Broke (O/B)]]="O",OpenInt[[#This Row],[Outside/Broke (O/B)]]="B"),0,VLOOKUP((V30/MAlength*150),CanterScore,2,TRUE)))</f>
        <v/>
      </c>
      <c r="Y30" s="17"/>
      <c r="Z30" s="17"/>
      <c r="AA30" s="18" t="str">
        <f>IF(C30="","",IF(OR(OpenInt[[#This Row],[Outside/Broke (O/B)2]]="O",OpenInt[[#This Row],[Outside/Broke (O/B)2]]="B"),0,IF((Y30/MAlength*150)=0, 0,IF((Y30/MAlength*150)&lt;'MA calc'!$A$4, 15, VLOOKUP((Y30/MAlength*150),WalkScore,2,TRUE)))))</f>
        <v/>
      </c>
      <c r="AB30" s="17"/>
    </row>
    <row r="31" spans="1:28" s="35" customFormat="1" x14ac:dyDescent="0.3">
      <c r="A31" s="17"/>
      <c r="B31" s="17"/>
      <c r="C31" s="17"/>
      <c r="D31" s="17"/>
      <c r="E31" s="17"/>
      <c r="F31" s="17"/>
      <c r="G31" s="17" t="str">
        <f t="shared" si="0"/>
        <v/>
      </c>
      <c r="H31" s="52" t="str">
        <f>IF(OpenInt[[#This Row],[RIDER]]="","",IF((COUNTIF(J31, "E")), "E", (SUM(J31+I31))))</f>
        <v/>
      </c>
      <c r="I31" s="52" t="str">
        <f>IF(OpenInt[[#This Row],[RIDER]]="","",SUM(X31,AA31))</f>
        <v/>
      </c>
      <c r="J31" s="42" t="str">
        <f>IF(OpenInt[[#This Row],[RIDER]]="","",IF(COUNTIF(K31:T31, "E"), "E", (SUM(K31:T31)-U31)))</f>
        <v/>
      </c>
      <c r="K31" s="17">
        <v>0</v>
      </c>
      <c r="L31" s="17">
        <v>0</v>
      </c>
      <c r="M31" s="17">
        <v>0</v>
      </c>
      <c r="N31" s="17">
        <v>0</v>
      </c>
      <c r="O31" s="17">
        <v>0</v>
      </c>
      <c r="P31" s="17">
        <v>0</v>
      </c>
      <c r="Q31" s="17">
        <v>0</v>
      </c>
      <c r="R31" s="17">
        <v>0</v>
      </c>
      <c r="S31" s="17">
        <v>0</v>
      </c>
      <c r="T31" s="17">
        <v>0</v>
      </c>
      <c r="U31" s="17">
        <v>0</v>
      </c>
      <c r="V31" s="17"/>
      <c r="W31" s="17"/>
      <c r="X31" s="18" t="str">
        <f>IF(C31="","",IF(OR(OpenInt[[#This Row],[Outside/Broke (O/B)]]="O",OpenInt[[#This Row],[Outside/Broke (O/B)]]="B"),0,VLOOKUP((V31/MAlength*150),CanterScore,2,TRUE)))</f>
        <v/>
      </c>
      <c r="Y31" s="17"/>
      <c r="Z31" s="17"/>
      <c r="AA31" s="18" t="str">
        <f>IF(C31="","",IF(OR(OpenInt[[#This Row],[Outside/Broke (O/B)2]]="O",OpenInt[[#This Row],[Outside/Broke (O/B)2]]="B"),0,IF((Y31/MAlength*150)=0, 0,IF((Y31/MAlength*150)&lt;'MA calc'!$A$4, 15, VLOOKUP((Y31/MAlength*150),WalkScore,2,TRUE)))))</f>
        <v/>
      </c>
      <c r="AB31" s="17"/>
    </row>
    <row r="32" spans="1:28" s="35" customFormat="1" x14ac:dyDescent="0.3">
      <c r="A32" s="17"/>
      <c r="B32" s="17"/>
      <c r="C32" s="17"/>
      <c r="D32" s="17"/>
      <c r="E32" s="17"/>
      <c r="F32" s="17"/>
      <c r="G32" s="17" t="str">
        <f t="shared" si="0"/>
        <v/>
      </c>
      <c r="H32" s="52" t="str">
        <f>IF(OpenInt[[#This Row],[RIDER]]="","",IF((COUNTIF(J32, "E")), "E", (SUM(J32+I32))))</f>
        <v/>
      </c>
      <c r="I32" s="52" t="str">
        <f>IF(OpenInt[[#This Row],[RIDER]]="","",SUM(X32,AA32))</f>
        <v/>
      </c>
      <c r="J32" s="42" t="str">
        <f>IF(OpenInt[[#This Row],[RIDER]]="","",IF(COUNTIF(K32:T32, "E"), "E", (SUM(K32:T32)-U32)))</f>
        <v/>
      </c>
      <c r="K32" s="17">
        <v>0</v>
      </c>
      <c r="L32" s="17">
        <v>0</v>
      </c>
      <c r="M32" s="17">
        <v>0</v>
      </c>
      <c r="N32" s="17">
        <v>0</v>
      </c>
      <c r="O32" s="17">
        <v>0</v>
      </c>
      <c r="P32" s="17">
        <v>0</v>
      </c>
      <c r="Q32" s="17">
        <v>0</v>
      </c>
      <c r="R32" s="17">
        <v>0</v>
      </c>
      <c r="S32" s="17">
        <v>0</v>
      </c>
      <c r="T32" s="17">
        <v>0</v>
      </c>
      <c r="U32" s="17">
        <v>0</v>
      </c>
      <c r="V32" s="17"/>
      <c r="W32" s="17"/>
      <c r="X32" s="18" t="str">
        <f>IF(C32="","",IF(OR(OpenInt[[#This Row],[Outside/Broke (O/B)]]="O",OpenInt[[#This Row],[Outside/Broke (O/B)]]="B"),0,VLOOKUP((V32/MAlength*150),CanterScore,2,TRUE)))</f>
        <v/>
      </c>
      <c r="Y32" s="17"/>
      <c r="Z32" s="17"/>
      <c r="AA32" s="18" t="str">
        <f>IF(C32="","",IF(OR(OpenInt[[#This Row],[Outside/Broke (O/B)2]]="O",OpenInt[[#This Row],[Outside/Broke (O/B)2]]="B"),0,IF((Y32/MAlength*150)=0, 0,IF((Y32/MAlength*150)&lt;'MA calc'!$A$4, 15, VLOOKUP((Y32/MAlength*150),WalkScore,2,TRUE)))))</f>
        <v/>
      </c>
      <c r="AB32" s="17"/>
    </row>
    <row r="33" spans="1:28" s="35" customFormat="1" x14ac:dyDescent="0.3">
      <c r="A33" s="17"/>
      <c r="B33" s="17"/>
      <c r="C33" s="17"/>
      <c r="D33" s="17"/>
      <c r="E33" s="17"/>
      <c r="F33" s="17"/>
      <c r="G33" s="17" t="str">
        <f t="shared" si="0"/>
        <v/>
      </c>
      <c r="H33" s="52" t="str">
        <f>IF(OpenInt[[#This Row],[RIDER]]="","",IF((COUNTIF(J33, "E")), "E", (SUM(J33+I33))))</f>
        <v/>
      </c>
      <c r="I33" s="52" t="str">
        <f>IF(OpenInt[[#This Row],[RIDER]]="","",SUM(X33,AA33))</f>
        <v/>
      </c>
      <c r="J33" s="42" t="str">
        <f>IF(OpenInt[[#This Row],[RIDER]]="","",IF(COUNTIF(K33:T33, "E"), "E", (SUM(K33:T33)-U33)))</f>
        <v/>
      </c>
      <c r="K33" s="17">
        <v>0</v>
      </c>
      <c r="L33" s="17">
        <v>0</v>
      </c>
      <c r="M33" s="17">
        <v>0</v>
      </c>
      <c r="N33" s="17">
        <v>0</v>
      </c>
      <c r="O33" s="17">
        <v>0</v>
      </c>
      <c r="P33" s="17">
        <v>0</v>
      </c>
      <c r="Q33" s="17">
        <v>0</v>
      </c>
      <c r="R33" s="17">
        <v>0</v>
      </c>
      <c r="S33" s="17">
        <v>0</v>
      </c>
      <c r="T33" s="17">
        <v>0</v>
      </c>
      <c r="U33" s="17">
        <v>0</v>
      </c>
      <c r="V33" s="17"/>
      <c r="W33" s="17"/>
      <c r="X33" s="18" t="str">
        <f>IF(C33="","",IF(OR(OpenInt[[#This Row],[Outside/Broke (O/B)]]="O",OpenInt[[#This Row],[Outside/Broke (O/B)]]="B"),0,VLOOKUP((V33/MAlength*150),CanterScore,2,TRUE)))</f>
        <v/>
      </c>
      <c r="Y33" s="17"/>
      <c r="Z33" s="17"/>
      <c r="AA33" s="18" t="str">
        <f>IF(C33="","",IF(OR(OpenInt[[#This Row],[Outside/Broke (O/B)2]]="O",OpenInt[[#This Row],[Outside/Broke (O/B)2]]="B"),0,IF((Y33/MAlength*150)=0, 0,IF((Y33/MAlength*150)&lt;'MA calc'!$A$4, 15, VLOOKUP((Y33/MAlength*150),WalkScore,2,TRUE)))))</f>
        <v/>
      </c>
      <c r="AB33" s="17"/>
    </row>
    <row r="34" spans="1:28" s="35" customFormat="1" x14ac:dyDescent="0.3">
      <c r="A34" s="17"/>
      <c r="B34" s="17"/>
      <c r="C34" s="17"/>
      <c r="D34" s="17"/>
      <c r="E34" s="17"/>
      <c r="F34" s="17"/>
      <c r="G34" s="17" t="str">
        <f t="shared" si="0"/>
        <v/>
      </c>
      <c r="H34" s="52" t="str">
        <f>IF(OpenInt[[#This Row],[RIDER]]="","",IF((COUNTIF(J34, "E")), "E", (SUM(J34+I34))))</f>
        <v/>
      </c>
      <c r="I34" s="52" t="str">
        <f>IF(OpenInt[[#This Row],[RIDER]]="","",SUM(X34,AA34))</f>
        <v/>
      </c>
      <c r="J34" s="42" t="str">
        <f>IF(OpenInt[[#This Row],[RIDER]]="","",IF(COUNTIF(K34:T34, "E"), "E", (SUM(K34:T34)-U34)))</f>
        <v/>
      </c>
      <c r="K34" s="17">
        <v>0</v>
      </c>
      <c r="L34" s="17">
        <v>0</v>
      </c>
      <c r="M34" s="17">
        <v>0</v>
      </c>
      <c r="N34" s="17">
        <v>0</v>
      </c>
      <c r="O34" s="17">
        <v>0</v>
      </c>
      <c r="P34" s="17">
        <v>0</v>
      </c>
      <c r="Q34" s="17">
        <v>0</v>
      </c>
      <c r="R34" s="17">
        <v>0</v>
      </c>
      <c r="S34" s="17">
        <v>0</v>
      </c>
      <c r="T34" s="17">
        <v>0</v>
      </c>
      <c r="U34" s="17">
        <v>0</v>
      </c>
      <c r="V34" s="17"/>
      <c r="W34" s="17"/>
      <c r="X34" s="18" t="str">
        <f>IF(C34="","",IF(OR(OpenInt[[#This Row],[Outside/Broke (O/B)]]="O",OpenInt[[#This Row],[Outside/Broke (O/B)]]="B"),0,VLOOKUP((V34/MAlength*150),CanterScore,2,TRUE)))</f>
        <v/>
      </c>
      <c r="Y34" s="17"/>
      <c r="Z34" s="17"/>
      <c r="AA34" s="18" t="str">
        <f>IF(C34="","",IF(OR(OpenInt[[#This Row],[Outside/Broke (O/B)2]]="O",OpenInt[[#This Row],[Outside/Broke (O/B)2]]="B"),0,IF((Y34/MAlength*150)=0, 0,IF((Y34/MAlength*150)&lt;'MA calc'!$A$4, 15, VLOOKUP((Y34/MAlength*150),WalkScore,2,TRUE)))))</f>
        <v/>
      </c>
      <c r="AB34" s="17"/>
    </row>
    <row r="35" spans="1:28" s="35" customFormat="1" x14ac:dyDescent="0.3">
      <c r="A35" s="17"/>
      <c r="B35" s="17"/>
      <c r="C35" s="17"/>
      <c r="D35" s="17"/>
      <c r="E35" s="17"/>
      <c r="F35" s="17"/>
      <c r="G35" s="17" t="str">
        <f t="shared" si="0"/>
        <v/>
      </c>
      <c r="H35" s="52" t="str">
        <f>IF(OpenInt[[#This Row],[RIDER]]="","",IF((COUNTIF(J35, "E")), "E", (SUM(J35+I35))))</f>
        <v/>
      </c>
      <c r="I35" s="52" t="str">
        <f>IF(OpenInt[[#This Row],[RIDER]]="","",SUM(X35,AA35))</f>
        <v/>
      </c>
      <c r="J35" s="42" t="str">
        <f>IF(OpenInt[[#This Row],[RIDER]]="","",IF(COUNTIF(K35:T35, "E"), "E", (SUM(K35:T35)-U35)))</f>
        <v/>
      </c>
      <c r="K35" s="17">
        <v>0</v>
      </c>
      <c r="L35" s="17">
        <v>0</v>
      </c>
      <c r="M35" s="17">
        <v>0</v>
      </c>
      <c r="N35" s="17">
        <v>0</v>
      </c>
      <c r="O35" s="17">
        <v>0</v>
      </c>
      <c r="P35" s="17">
        <v>0</v>
      </c>
      <c r="Q35" s="17">
        <v>0</v>
      </c>
      <c r="R35" s="17">
        <v>0</v>
      </c>
      <c r="S35" s="17">
        <v>0</v>
      </c>
      <c r="T35" s="17">
        <v>0</v>
      </c>
      <c r="U35" s="17">
        <v>0</v>
      </c>
      <c r="V35" s="17"/>
      <c r="W35" s="17"/>
      <c r="X35" s="18" t="str">
        <f>IF(C35="","",IF(OR(OpenInt[[#This Row],[Outside/Broke (O/B)]]="O",OpenInt[[#This Row],[Outside/Broke (O/B)]]="B"),0,VLOOKUP((V35/MAlength*150),CanterScore,2,TRUE)))</f>
        <v/>
      </c>
      <c r="Y35" s="17"/>
      <c r="Z35" s="17"/>
      <c r="AA35" s="18" t="str">
        <f>IF(C35="","",IF(OR(OpenInt[[#This Row],[Outside/Broke (O/B)2]]="O",OpenInt[[#This Row],[Outside/Broke (O/B)2]]="B"),0,IF((Y35/MAlength*150)=0, 0,IF((Y35/MAlength*150)&lt;'MA calc'!$A$4, 15, VLOOKUP((Y35/MAlength*150),WalkScore,2,TRUE)))))</f>
        <v/>
      </c>
      <c r="AB35" s="17"/>
    </row>
  </sheetData>
  <mergeCells count="5">
    <mergeCell ref="D6:E6"/>
    <mergeCell ref="H6:I6"/>
    <mergeCell ref="K6:L6"/>
    <mergeCell ref="M6:T6"/>
    <mergeCell ref="D7:E7"/>
  </mergeCells>
  <phoneticPr fontId="26" type="noConversion"/>
  <conditionalFormatting sqref="K11:U35">
    <cfRule type="cellIs" dxfId="8" priority="1" operator="greaterThan">
      <formula>10</formula>
    </cfRule>
  </conditionalFormatting>
  <dataValidations count="3">
    <dataValidation type="list" allowBlank="1" showDropDown="1" showErrorMessage="1" errorTitle="Invalid entry" error="Please enter O or B only" sqref="W11:W35 Z11:Z35" xr:uid="{67CB9D90-ADDF-4B25-8FB4-54CEBB48A82B}">
      <formula1>"B,O"</formula1>
    </dataValidation>
    <dataValidation type="list" allowBlank="1" showDropDown="1" showErrorMessage="1" errorTitle="Invalid entry" error="Please enter Y or N only" sqref="E11:E35" xr:uid="{5BCA09E7-ECD4-4D76-B82C-BEFA5CB33544}">
      <formula1>"N,Y"</formula1>
    </dataValidation>
    <dataValidation type="list" operator="lessThanOrEqual" allowBlank="1" showDropDown="1" showInputMessage="1" showErrorMessage="1" errorTitle="Invalid entry" error="The maximum score for each obstacle is 10. _x000a_Please enter a number between -5 and 10, or an E." sqref="K11:U35" xr:uid="{589AFD9B-9BA5-4DF9-9304-3A33D56D65D5}">
      <formula1>"0,1,2,3,4,5,6,7,8,9,10,E,-1,-2,-3,-4,-5"</formula1>
    </dataValidation>
  </dataValidations>
  <printOptions horizontalCentered="1" verticalCentered="1"/>
  <pageMargins left="0.23622047244094491" right="0.23622047244094491" top="0.74803149606299213" bottom="0.74803149606299213" header="0.31496062992125984" footer="0.31496062992125984"/>
  <pageSetup paperSize="9" scale="53" orientation="landscape" r:id="rId1"/>
  <drawing r:id="rId2"/>
  <tableParts count="1">
    <tablePart r:id="rId3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0572B8-37C0-4BB3-9460-EF9CF6445E28}">
  <sheetPr>
    <pageSetUpPr fitToPage="1"/>
  </sheetPr>
  <dimension ref="A1:AB35"/>
  <sheetViews>
    <sheetView topLeftCell="A6" zoomScale="92" zoomScaleNormal="75" workbookViewId="0">
      <selection activeCell="G13" sqref="G13"/>
    </sheetView>
  </sheetViews>
  <sheetFormatPr defaultColWidth="8.69921875" defaultRowHeight="14.4" x14ac:dyDescent="0.3"/>
  <cols>
    <col min="1" max="1" width="17.19921875" style="14" bestFit="1" customWidth="1"/>
    <col min="2" max="2" width="14.3984375" style="14" bestFit="1" customWidth="1"/>
    <col min="3" max="3" width="15.69921875" style="14" bestFit="1" customWidth="1"/>
    <col min="4" max="4" width="19.19921875" style="14" bestFit="1" customWidth="1"/>
    <col min="5" max="5" width="12.8984375" style="14" customWidth="1"/>
    <col min="6" max="6" width="21.19921875" style="14" customWidth="1"/>
    <col min="7" max="7" width="16.3984375" style="14" bestFit="1" customWidth="1"/>
    <col min="8" max="8" width="11.3984375" style="1" customWidth="1"/>
    <col min="9" max="9" width="10.5" style="1" customWidth="1"/>
    <col min="10" max="10" width="12.5" style="14" bestFit="1" customWidth="1"/>
    <col min="11" max="11" width="8.69921875" style="14" customWidth="1"/>
    <col min="12" max="12" width="8.5" style="14" customWidth="1"/>
    <col min="13" max="15" width="6.69921875" style="14" customWidth="1"/>
    <col min="16" max="16" width="7.19921875" style="14" customWidth="1"/>
    <col min="17" max="21" width="6.69921875" style="14" customWidth="1"/>
    <col min="22" max="23" width="9" style="14" customWidth="1"/>
    <col min="24" max="24" width="6.69921875" style="1" customWidth="1"/>
    <col min="25" max="25" width="9" style="14" customWidth="1"/>
    <col min="26" max="27" width="6.69921875" style="1" customWidth="1"/>
    <col min="28" max="28" width="4.5" style="14" hidden="1" customWidth="1"/>
    <col min="29" max="29" width="23.09765625" style="14" customWidth="1"/>
    <col min="30" max="30" width="3.3984375" style="14" customWidth="1"/>
    <col min="31" max="31" width="2.59765625" style="14" customWidth="1"/>
    <col min="32" max="32" width="2.5" style="14" customWidth="1"/>
    <col min="33" max="33" width="8.69921875" style="14"/>
    <col min="34" max="34" width="8.69921875" style="14" customWidth="1"/>
    <col min="35" max="16384" width="8.69921875" style="14"/>
  </cols>
  <sheetData>
    <row r="1" spans="1:28" ht="3" customHeight="1" x14ac:dyDescent="0.3"/>
    <row r="2" spans="1:28" ht="23.4" customHeight="1" x14ac:dyDescent="0.45">
      <c r="A2" s="23"/>
      <c r="B2" s="23"/>
      <c r="F2" s="7" t="s">
        <v>14</v>
      </c>
      <c r="T2" s="1"/>
      <c r="U2" s="1"/>
    </row>
    <row r="3" spans="1:28" ht="14.55" customHeight="1" x14ac:dyDescent="0.3">
      <c r="A3" s="23"/>
      <c r="B3" s="23"/>
      <c r="I3" s="2"/>
      <c r="W3" s="1"/>
      <c r="Y3" s="1"/>
    </row>
    <row r="4" spans="1:28" ht="15.6" x14ac:dyDescent="0.3">
      <c r="A4" s="23"/>
      <c r="B4" s="23"/>
      <c r="F4" s="3"/>
      <c r="I4" s="2"/>
      <c r="M4" s="3"/>
      <c r="Y4" s="1"/>
    </row>
    <row r="5" spans="1:28" ht="14.55" customHeight="1" x14ac:dyDescent="0.3">
      <c r="A5" s="23"/>
      <c r="B5" s="23"/>
      <c r="L5" s="32"/>
      <c r="M5" s="33"/>
      <c r="N5" s="33"/>
      <c r="Y5" s="1"/>
    </row>
    <row r="6" spans="1:28" s="4" customFormat="1" ht="21" x14ac:dyDescent="0.4">
      <c r="A6" s="23"/>
      <c r="B6" s="23"/>
      <c r="C6" s="15" t="s">
        <v>8</v>
      </c>
      <c r="D6" s="63" t="str">
        <f>'Print All Summary'!B6</f>
        <v>Avon Riding Centre</v>
      </c>
      <c r="E6" s="63"/>
      <c r="F6" s="14"/>
      <c r="G6" s="22" t="s">
        <v>9</v>
      </c>
      <c r="H6" s="65">
        <f>'Print All Summary'!F6</f>
        <v>46068</v>
      </c>
      <c r="I6" s="65"/>
      <c r="J6" s="14"/>
      <c r="K6" s="66" t="s">
        <v>15</v>
      </c>
      <c r="L6" s="66"/>
      <c r="M6" s="63" t="str">
        <f>'Print All Summary'!B7</f>
        <v>Wessex TREC</v>
      </c>
      <c r="N6" s="63"/>
      <c r="O6" s="63"/>
      <c r="P6" s="63"/>
      <c r="Q6" s="63"/>
      <c r="R6" s="63"/>
      <c r="S6" s="63"/>
      <c r="T6" s="63"/>
      <c r="U6" s="14"/>
      <c r="X6" s="1"/>
      <c r="Y6" s="1"/>
      <c r="Z6" s="1"/>
      <c r="AA6" s="1"/>
    </row>
    <row r="7" spans="1:28" s="4" customFormat="1" ht="30" customHeight="1" x14ac:dyDescent="0.4">
      <c r="A7" s="23"/>
      <c r="B7" s="23"/>
      <c r="C7" s="15" t="s">
        <v>16</v>
      </c>
      <c r="D7" s="64" t="s">
        <v>46</v>
      </c>
      <c r="E7" s="64"/>
      <c r="F7" s="14"/>
      <c r="H7" s="5"/>
      <c r="I7" s="5"/>
      <c r="J7" s="14"/>
      <c r="U7" s="14"/>
      <c r="X7" s="1"/>
      <c r="Y7" s="1"/>
      <c r="Z7" s="1"/>
      <c r="AA7" s="1"/>
    </row>
    <row r="8" spans="1:28" s="4" customFormat="1" ht="21" x14ac:dyDescent="0.4">
      <c r="A8" s="23"/>
      <c r="B8" s="23"/>
      <c r="C8" s="15"/>
      <c r="D8" s="15"/>
      <c r="E8" s="15"/>
      <c r="H8" s="5"/>
      <c r="I8" s="5"/>
      <c r="X8" s="5"/>
      <c r="Z8" s="5"/>
      <c r="AA8" s="5"/>
    </row>
    <row r="9" spans="1:28" ht="15.6" x14ac:dyDescent="0.3">
      <c r="F9" s="16"/>
      <c r="K9" s="16"/>
      <c r="L9" s="16"/>
      <c r="M9" s="16"/>
      <c r="N9" s="16"/>
      <c r="O9" s="16"/>
      <c r="P9" s="16"/>
      <c r="Q9" s="16"/>
    </row>
    <row r="10" spans="1:28" s="34" customFormat="1" ht="122.55" customHeight="1" x14ac:dyDescent="0.25">
      <c r="A10" s="28" t="s">
        <v>18</v>
      </c>
      <c r="B10" s="29" t="s">
        <v>19</v>
      </c>
      <c r="C10" s="19" t="s">
        <v>20</v>
      </c>
      <c r="D10" s="20" t="s">
        <v>21</v>
      </c>
      <c r="E10" s="20" t="s">
        <v>22</v>
      </c>
      <c r="F10" s="20" t="s">
        <v>23</v>
      </c>
      <c r="G10" s="21" t="s">
        <v>24</v>
      </c>
      <c r="H10" s="21" t="s">
        <v>25</v>
      </c>
      <c r="I10" s="21" t="s">
        <v>26</v>
      </c>
      <c r="J10" s="27" t="s">
        <v>45</v>
      </c>
      <c r="K10" s="26" t="s">
        <v>28</v>
      </c>
      <c r="L10" s="26" t="s">
        <v>29</v>
      </c>
      <c r="M10" s="26" t="s">
        <v>30</v>
      </c>
      <c r="N10" s="26" t="s">
        <v>31</v>
      </c>
      <c r="O10" s="26" t="s">
        <v>32</v>
      </c>
      <c r="P10" s="26" t="s">
        <v>33</v>
      </c>
      <c r="Q10" s="26" t="s">
        <v>34</v>
      </c>
      <c r="R10" s="26" t="s">
        <v>35</v>
      </c>
      <c r="S10" s="26" t="s">
        <v>36</v>
      </c>
      <c r="T10" s="26" t="s">
        <v>37</v>
      </c>
      <c r="U10" s="30" t="s">
        <v>56</v>
      </c>
      <c r="V10" s="24" t="s">
        <v>38</v>
      </c>
      <c r="W10" s="24" t="s">
        <v>39</v>
      </c>
      <c r="X10" s="25" t="s">
        <v>40</v>
      </c>
      <c r="Y10" s="24" t="s">
        <v>41</v>
      </c>
      <c r="Z10" s="24" t="s">
        <v>42</v>
      </c>
      <c r="AA10" s="25" t="s">
        <v>43</v>
      </c>
      <c r="AB10" s="39" t="s">
        <v>13</v>
      </c>
    </row>
    <row r="11" spans="1:28" s="35" customFormat="1" x14ac:dyDescent="0.3">
      <c r="A11" s="17"/>
      <c r="B11" s="17"/>
      <c r="C11" s="17" t="s">
        <v>94</v>
      </c>
      <c r="D11" s="17"/>
      <c r="E11" s="17"/>
      <c r="F11" s="17" t="s">
        <v>95</v>
      </c>
      <c r="G11" s="17">
        <f>IF(H11="E","E",(IF(C11="","",_xlfn.RANK.EQ($H11,$H$11:$H$35)+COUNTIFS($H$11:$H$35,$H11,$J$11:$J$35,"&gt;"&amp;$J11))))</f>
        <v>2</v>
      </c>
      <c r="H11" s="52">
        <f>IF(Interm[[#This Row],[RIDER]]="","",IF((COUNTIF(J11, "E")), "E", (SUM(J11+I11))))</f>
        <v>89</v>
      </c>
      <c r="I11" s="52">
        <f>IF(Interm[[#This Row],[RIDER]]="","",SUM(X11,AA11))</f>
        <v>0</v>
      </c>
      <c r="J11" s="42">
        <f>IF(Interm[[#This Row],[RIDER]]="","",IF(COUNTIF(K11:T11, "E"), "E",(SUM(K11:T11)-U11)))</f>
        <v>89</v>
      </c>
      <c r="K11" s="17">
        <v>7</v>
      </c>
      <c r="L11" s="17">
        <v>10</v>
      </c>
      <c r="M11" s="17">
        <v>10</v>
      </c>
      <c r="N11" s="17">
        <v>10</v>
      </c>
      <c r="O11" s="17">
        <v>7</v>
      </c>
      <c r="P11" s="17">
        <v>9</v>
      </c>
      <c r="Q11" s="17">
        <v>9</v>
      </c>
      <c r="R11" s="17">
        <v>9</v>
      </c>
      <c r="S11" s="17">
        <v>9</v>
      </c>
      <c r="T11" s="17">
        <v>9</v>
      </c>
      <c r="U11" s="17">
        <v>0</v>
      </c>
      <c r="V11" s="17">
        <v>18.7</v>
      </c>
      <c r="W11" s="17" t="s">
        <v>122</v>
      </c>
      <c r="X11" s="18">
        <f>IF(C11="","",IF(OR(Interm[[#This Row],[Outside/Broke (O/B)]]="O",Interm[[#This Row],[Outside/Broke (O/B)]]="B"),0,VLOOKUP((V11/MAlength*150),CanterScore,2,TRUE)))</f>
        <v>0</v>
      </c>
      <c r="Y11" s="17">
        <v>53.1</v>
      </c>
      <c r="Z11" s="17"/>
      <c r="AA11" s="18">
        <f>IF(C11="","",IF(OR(Interm[[#This Row],[Outside/Broke (O/B)2]]="O",Interm[[#This Row],[Outside/Broke (O/B)2]]="B"),0,IF((Y11/MAlength*150)=0, 0,IF((Y11/MAlength*150)&lt;'MA calc'!$A$4, 15, VLOOKUP((Y11/MAlength*150),WalkScore,2,TRUE)))))</f>
        <v>0</v>
      </c>
      <c r="AB11" s="17"/>
    </row>
    <row r="12" spans="1:28" s="35" customFormat="1" x14ac:dyDescent="0.3">
      <c r="A12" s="17"/>
      <c r="B12" s="17"/>
      <c r="C12" s="17" t="s">
        <v>88</v>
      </c>
      <c r="D12" s="17" t="s">
        <v>90</v>
      </c>
      <c r="E12" s="17"/>
      <c r="F12" s="17" t="s">
        <v>89</v>
      </c>
      <c r="G12" s="17">
        <f t="shared" ref="G12:G35" si="0">IF(H12="E","E",(IF(C12="","",_xlfn.RANK.EQ($H12,$H$11:$H$35)+COUNTIFS($H$11:$H$35,$H12,$J$11:$J$35,"&gt;"&amp;$J12))))</f>
        <v>1</v>
      </c>
      <c r="H12" s="52">
        <f>IF(Interm[[#This Row],[RIDER]]="","",IF((COUNTIF(J12, "E")), "E", (SUM(J12+I12))))</f>
        <v>100</v>
      </c>
      <c r="I12" s="52">
        <f>IF(Interm[[#This Row],[RIDER]]="","",SUM(X12,AA12))</f>
        <v>15</v>
      </c>
      <c r="J12" s="42">
        <f>IF(Interm[[#This Row],[RIDER]]="","",IF(COUNTIF(K12:T12, "E"), "E",(SUM(K12:T12)-U12)))</f>
        <v>85</v>
      </c>
      <c r="K12" s="17">
        <v>7</v>
      </c>
      <c r="L12" s="17">
        <v>10</v>
      </c>
      <c r="M12" s="17">
        <v>10</v>
      </c>
      <c r="N12" s="17">
        <v>9</v>
      </c>
      <c r="O12" s="17">
        <v>5</v>
      </c>
      <c r="P12" s="17">
        <v>9</v>
      </c>
      <c r="Q12" s="17">
        <v>6</v>
      </c>
      <c r="R12" s="17">
        <v>9</v>
      </c>
      <c r="S12" s="17">
        <v>10</v>
      </c>
      <c r="T12" s="17">
        <v>10</v>
      </c>
      <c r="U12" s="17">
        <v>0</v>
      </c>
      <c r="V12" s="17">
        <v>17</v>
      </c>
      <c r="W12" s="17"/>
      <c r="X12" s="18">
        <f>IF(C12="","",IF(OR(Interm[[#This Row],[Outside/Broke (O/B)]]="O",Interm[[#This Row],[Outside/Broke (O/B)]]="B"),0,VLOOKUP((V12/MAlength*150),CanterScore,2,TRUE)))</f>
        <v>15</v>
      </c>
      <c r="Y12" s="17">
        <v>51</v>
      </c>
      <c r="Z12" s="17"/>
      <c r="AA12" s="18">
        <f>IF(C12="","",IF(OR(Interm[[#This Row],[Outside/Broke (O/B)2]]="O",Interm[[#This Row],[Outside/Broke (O/B)2]]="B"),0,IF((Y12/MAlength*150)=0, 0,IF((Y12/MAlength*150)&lt;'MA calc'!$A$4, 15, VLOOKUP((Y12/MAlength*150),WalkScore,2,TRUE)))))</f>
        <v>0</v>
      </c>
      <c r="AB12" s="17"/>
    </row>
    <row r="13" spans="1:28" s="35" customFormat="1" x14ac:dyDescent="0.3">
      <c r="A13" s="17"/>
      <c r="B13" s="17"/>
      <c r="C13" s="17" t="s">
        <v>96</v>
      </c>
      <c r="D13" s="17" t="s">
        <v>92</v>
      </c>
      <c r="E13" s="17"/>
      <c r="F13" s="17" t="s">
        <v>93</v>
      </c>
      <c r="G13" s="17">
        <f t="shared" si="0"/>
        <v>3</v>
      </c>
      <c r="H13" s="52">
        <f>IF(Interm[[#This Row],[RIDER]]="","",IF((COUNTIF(J13, "E")), "E", (SUM(J13+I13))))</f>
        <v>89</v>
      </c>
      <c r="I13" s="52">
        <f>IF(Interm[[#This Row],[RIDER]]="","",SUM(X13,AA13))</f>
        <v>11</v>
      </c>
      <c r="J13" s="42">
        <f>IF(Interm[[#This Row],[RIDER]]="","",IF(COUNTIF(K13:T13, "E"), "E",(SUM(K13:T13)-U13)))</f>
        <v>78</v>
      </c>
      <c r="K13" s="17">
        <v>10</v>
      </c>
      <c r="L13" s="17">
        <v>10</v>
      </c>
      <c r="M13" s="17">
        <v>7</v>
      </c>
      <c r="N13" s="17">
        <v>10</v>
      </c>
      <c r="O13" s="17">
        <v>2</v>
      </c>
      <c r="P13" s="17">
        <v>10</v>
      </c>
      <c r="Q13" s="17">
        <v>2</v>
      </c>
      <c r="R13" s="17">
        <v>10</v>
      </c>
      <c r="S13" s="17">
        <v>10</v>
      </c>
      <c r="T13" s="17">
        <v>8</v>
      </c>
      <c r="U13" s="17">
        <v>1</v>
      </c>
      <c r="V13" s="17">
        <v>15.4</v>
      </c>
      <c r="W13" s="17"/>
      <c r="X13" s="18">
        <f>IF(C13="","",IF(OR(Interm[[#This Row],[Outside/Broke (O/B)]]="O",Interm[[#This Row],[Outside/Broke (O/B)]]="B"),0,VLOOKUP((V13/MAlength*150),CanterScore,2,TRUE)))</f>
        <v>5</v>
      </c>
      <c r="Y13" s="17">
        <v>42.6</v>
      </c>
      <c r="Z13" s="17"/>
      <c r="AA13" s="18">
        <f>IF(C13="","",IF(OR(Interm[[#This Row],[Outside/Broke (O/B)2]]="O",Interm[[#This Row],[Outside/Broke (O/B)2]]="B"),0,IF((Y13/MAlength*150)=0, 0,IF((Y13/MAlength*150)&lt;'MA calc'!$A$4, 15, VLOOKUP((Y13/MAlength*150),WalkScore,2,TRUE)))))</f>
        <v>6</v>
      </c>
      <c r="AB13" s="17"/>
    </row>
    <row r="14" spans="1:28" s="35" customFormat="1" x14ac:dyDescent="0.3">
      <c r="A14" s="17"/>
      <c r="B14" s="17"/>
      <c r="C14" s="17" t="s">
        <v>99</v>
      </c>
      <c r="D14" s="17" t="s">
        <v>98</v>
      </c>
      <c r="E14" s="17"/>
      <c r="F14" s="17" t="s">
        <v>97</v>
      </c>
      <c r="G14" s="17">
        <f t="shared" si="0"/>
        <v>5</v>
      </c>
      <c r="H14" s="52">
        <f>IF(Interm[[#This Row],[RIDER]]="","",IF((COUNTIF(J14, "E")), "E", (SUM(J14+I14))))</f>
        <v>64</v>
      </c>
      <c r="I14" s="52">
        <f>IF(Interm[[#This Row],[RIDER]]="","",SUM(X14,AA14))</f>
        <v>0</v>
      </c>
      <c r="J14" s="42">
        <f>IF(Interm[[#This Row],[RIDER]]="","",IF(COUNTIF(K14:T14, "E"), "E",(SUM(K14:T14)-U14)))</f>
        <v>64</v>
      </c>
      <c r="K14" s="17">
        <v>5</v>
      </c>
      <c r="L14" s="17">
        <v>0</v>
      </c>
      <c r="M14" s="17">
        <v>10</v>
      </c>
      <c r="N14" s="17">
        <v>9</v>
      </c>
      <c r="O14" s="17">
        <v>7</v>
      </c>
      <c r="P14" s="17">
        <v>6</v>
      </c>
      <c r="Q14" s="17">
        <v>7</v>
      </c>
      <c r="R14" s="17">
        <v>5</v>
      </c>
      <c r="S14" s="17">
        <v>6</v>
      </c>
      <c r="T14" s="17">
        <v>9</v>
      </c>
      <c r="U14" s="17">
        <v>0</v>
      </c>
      <c r="V14" s="17">
        <v>19.5</v>
      </c>
      <c r="W14" s="17" t="s">
        <v>122</v>
      </c>
      <c r="X14" s="18">
        <f>IF(C14="","",IF(OR(Interm[[#This Row],[Outside/Broke (O/B)]]="O",Interm[[#This Row],[Outside/Broke (O/B)]]="B"),0,VLOOKUP((V14/MAlength*150),CanterScore,2,TRUE)))</f>
        <v>0</v>
      </c>
      <c r="Y14" s="17">
        <v>48.8</v>
      </c>
      <c r="Z14" s="17"/>
      <c r="AA14" s="18">
        <f>IF(C14="","",IF(OR(Interm[[#This Row],[Outside/Broke (O/B)2]]="O",Interm[[#This Row],[Outside/Broke (O/B)2]]="B"),0,IF((Y14/MAlength*150)=0, 0,IF((Y14/MAlength*150)&lt;'MA calc'!$A$4, 15, VLOOKUP((Y14/MAlength*150),WalkScore,2,TRUE)))))</f>
        <v>0</v>
      </c>
      <c r="AB14" s="17"/>
    </row>
    <row r="15" spans="1:28" s="35" customFormat="1" x14ac:dyDescent="0.3">
      <c r="A15" s="17"/>
      <c r="B15" s="17"/>
      <c r="C15" s="17" t="s">
        <v>100</v>
      </c>
      <c r="D15" s="17" t="s">
        <v>74</v>
      </c>
      <c r="E15" s="17"/>
      <c r="F15" s="17" t="s">
        <v>77</v>
      </c>
      <c r="G15" s="17">
        <f t="shared" si="0"/>
        <v>4</v>
      </c>
      <c r="H15" s="52">
        <f>IF(Interm[[#This Row],[RIDER]]="","",IF((COUNTIF(J15, "E")), "E", (SUM(J15+I15))))</f>
        <v>76</v>
      </c>
      <c r="I15" s="52">
        <f>IF(Interm[[#This Row],[RIDER]]="","",SUM(X15,AA15))</f>
        <v>0</v>
      </c>
      <c r="J15" s="42">
        <f>IF(Interm[[#This Row],[RIDER]]="","",IF(COUNTIF(K15:T15, "E"), "E",(SUM(K15:T15)-U15)))</f>
        <v>76</v>
      </c>
      <c r="K15" s="17">
        <v>10</v>
      </c>
      <c r="L15" s="17">
        <v>10</v>
      </c>
      <c r="M15" s="17">
        <v>10</v>
      </c>
      <c r="N15" s="17">
        <v>9</v>
      </c>
      <c r="O15" s="17">
        <v>5</v>
      </c>
      <c r="P15" s="17">
        <v>9</v>
      </c>
      <c r="Q15" s="17">
        <v>9</v>
      </c>
      <c r="R15" s="17">
        <v>4</v>
      </c>
      <c r="S15" s="17">
        <v>10</v>
      </c>
      <c r="T15" s="17">
        <v>0</v>
      </c>
      <c r="U15" s="17">
        <v>0</v>
      </c>
      <c r="V15" s="17">
        <v>20</v>
      </c>
      <c r="W15" s="17" t="s">
        <v>122</v>
      </c>
      <c r="X15" s="18">
        <f>IF(C15="","",IF(OR(Interm[[#This Row],[Outside/Broke (O/B)]]="O",Interm[[#This Row],[Outside/Broke (O/B)]]="B"),0,VLOOKUP((V15/MAlength*150),CanterScore,2,TRUE)))</f>
        <v>0</v>
      </c>
      <c r="Y15" s="17">
        <v>44</v>
      </c>
      <c r="Z15" s="17" t="s">
        <v>122</v>
      </c>
      <c r="AA15" s="18">
        <f>IF(C15="","",IF(OR(Interm[[#This Row],[Outside/Broke (O/B)2]]="O",Interm[[#This Row],[Outside/Broke (O/B)2]]="B"),0,IF((Y15/MAlength*150)=0, 0,IF((Y15/MAlength*150)&lt;'MA calc'!$A$4, 15, VLOOKUP((Y15/MAlength*150),WalkScore,2,TRUE)))))</f>
        <v>0</v>
      </c>
      <c r="AB15" s="17"/>
    </row>
    <row r="16" spans="1:28" s="35" customFormat="1" x14ac:dyDescent="0.3">
      <c r="A16" s="17"/>
      <c r="B16" s="17"/>
      <c r="C16" s="17"/>
      <c r="D16" s="17"/>
      <c r="E16" s="17"/>
      <c r="F16" s="17"/>
      <c r="G16" s="17" t="str">
        <f t="shared" si="0"/>
        <v/>
      </c>
      <c r="H16" s="52" t="str">
        <f>IF(Interm[[#This Row],[RIDER]]="","",IF((COUNTIF(J16, "E")), "E", (SUM(J16+I16))))</f>
        <v/>
      </c>
      <c r="I16" s="52" t="str">
        <f>IF(Interm[[#This Row],[RIDER]]="","",SUM(X16,AA16))</f>
        <v/>
      </c>
      <c r="J16" s="42" t="str">
        <f>IF(Interm[[#This Row],[RIDER]]="","",IF(COUNTIF(K16:T16, "E"), "E",(SUM(K16:T16)-U16)))</f>
        <v/>
      </c>
      <c r="K16" s="17">
        <v>0</v>
      </c>
      <c r="L16" s="17">
        <v>0</v>
      </c>
      <c r="M16" s="17">
        <v>0</v>
      </c>
      <c r="N16" s="17">
        <v>0</v>
      </c>
      <c r="O16" s="17">
        <v>0</v>
      </c>
      <c r="P16" s="17">
        <v>0</v>
      </c>
      <c r="Q16" s="17">
        <v>0</v>
      </c>
      <c r="R16" s="17">
        <v>0</v>
      </c>
      <c r="S16" s="17">
        <v>0</v>
      </c>
      <c r="T16" s="17">
        <v>0</v>
      </c>
      <c r="U16" s="17">
        <v>0</v>
      </c>
      <c r="V16" s="17"/>
      <c r="W16" s="17"/>
      <c r="X16" s="18" t="str">
        <f>IF(C16="","",IF(OR(Interm[[#This Row],[Outside/Broke (O/B)]]="O",Interm[[#This Row],[Outside/Broke (O/B)]]="B"),0,VLOOKUP((V16/MAlength*150),CanterScore,2,TRUE)))</f>
        <v/>
      </c>
      <c r="Y16" s="17"/>
      <c r="Z16" s="17"/>
      <c r="AA16" s="18" t="str">
        <f>IF(C16="","",IF(OR(Interm[[#This Row],[Outside/Broke (O/B)2]]="O",Interm[[#This Row],[Outside/Broke (O/B)2]]="B"),0,IF((Y16/MAlength*150)=0, 0,IF((Y16/MAlength*150)&lt;'MA calc'!$A$4, 15, VLOOKUP((Y16/MAlength*150),WalkScore,2,TRUE)))))</f>
        <v/>
      </c>
      <c r="AB16" s="17"/>
    </row>
    <row r="17" spans="1:28" s="35" customFormat="1" x14ac:dyDescent="0.3">
      <c r="A17" s="17"/>
      <c r="B17" s="17"/>
      <c r="C17" s="17"/>
      <c r="D17" s="17"/>
      <c r="E17" s="17"/>
      <c r="F17" s="17"/>
      <c r="G17" s="17" t="str">
        <f t="shared" si="0"/>
        <v/>
      </c>
      <c r="H17" s="52" t="str">
        <f>IF(Interm[[#This Row],[RIDER]]="","",IF((COUNTIF(J17, "E")), "E", (SUM(J17+I17))))</f>
        <v/>
      </c>
      <c r="I17" s="52" t="str">
        <f>IF(Interm[[#This Row],[RIDER]]="","",SUM(X17,AA17))</f>
        <v/>
      </c>
      <c r="J17" s="42" t="str">
        <f>IF(Interm[[#This Row],[RIDER]]="","",IF(COUNTIF(K17:T17, "E"), "E",(SUM(K17:T17)-U17)))</f>
        <v/>
      </c>
      <c r="K17" s="17">
        <v>0</v>
      </c>
      <c r="L17" s="17">
        <v>0</v>
      </c>
      <c r="M17" s="17">
        <v>0</v>
      </c>
      <c r="N17" s="17">
        <v>0</v>
      </c>
      <c r="O17" s="17">
        <v>0</v>
      </c>
      <c r="P17" s="17">
        <v>0</v>
      </c>
      <c r="Q17" s="17">
        <v>0</v>
      </c>
      <c r="R17" s="17">
        <v>0</v>
      </c>
      <c r="S17" s="17">
        <v>0</v>
      </c>
      <c r="T17" s="17">
        <v>0</v>
      </c>
      <c r="U17" s="17">
        <v>0</v>
      </c>
      <c r="V17" s="17"/>
      <c r="W17" s="17"/>
      <c r="X17" s="18" t="str">
        <f>IF(C17="","",IF(OR(Interm[[#This Row],[Outside/Broke (O/B)]]="O",Interm[[#This Row],[Outside/Broke (O/B)]]="B"),0,VLOOKUP((V17/MAlength*150),CanterScore,2,TRUE)))</f>
        <v/>
      </c>
      <c r="Y17" s="17"/>
      <c r="Z17" s="17"/>
      <c r="AA17" s="18" t="str">
        <f>IF(C17="","",IF(OR(Interm[[#This Row],[Outside/Broke (O/B)2]]="O",Interm[[#This Row],[Outside/Broke (O/B)2]]="B"),0,IF((Y17/MAlength*150)=0, 0,IF((Y17/MAlength*150)&lt;'MA calc'!$A$4, 15, VLOOKUP((Y17/MAlength*150),WalkScore,2,TRUE)))))</f>
        <v/>
      </c>
      <c r="AB17" s="17"/>
    </row>
    <row r="18" spans="1:28" s="35" customFormat="1" x14ac:dyDescent="0.3">
      <c r="A18" s="17"/>
      <c r="B18" s="17"/>
      <c r="C18" s="17"/>
      <c r="D18" s="17"/>
      <c r="E18" s="17"/>
      <c r="F18" s="17"/>
      <c r="G18" s="17" t="str">
        <f t="shared" si="0"/>
        <v/>
      </c>
      <c r="H18" s="52" t="str">
        <f>IF(Interm[[#This Row],[RIDER]]="","",IF((COUNTIF(J18, "E")), "E", (SUM(J18+I18))))</f>
        <v/>
      </c>
      <c r="I18" s="52" t="str">
        <f>IF(Interm[[#This Row],[RIDER]]="","",SUM(X18,AA18))</f>
        <v/>
      </c>
      <c r="J18" s="42" t="str">
        <f>IF(Interm[[#This Row],[RIDER]]="","",IF(COUNTIF(K18:T18, "E"), "E",(SUM(K18:T18)-U18)))</f>
        <v/>
      </c>
      <c r="K18" s="17">
        <v>0</v>
      </c>
      <c r="L18" s="17">
        <v>0</v>
      </c>
      <c r="M18" s="17">
        <v>0</v>
      </c>
      <c r="N18" s="17">
        <v>0</v>
      </c>
      <c r="O18" s="17">
        <v>0</v>
      </c>
      <c r="P18" s="17">
        <v>0</v>
      </c>
      <c r="Q18" s="17">
        <v>0</v>
      </c>
      <c r="R18" s="17">
        <v>0</v>
      </c>
      <c r="S18" s="17">
        <v>0</v>
      </c>
      <c r="T18" s="17">
        <v>0</v>
      </c>
      <c r="U18" s="17">
        <v>0</v>
      </c>
      <c r="V18" s="17"/>
      <c r="W18" s="17"/>
      <c r="X18" s="18" t="str">
        <f>IF(C18="","",IF(OR(Interm[[#This Row],[Outside/Broke (O/B)]]="O",Interm[[#This Row],[Outside/Broke (O/B)]]="B"),0,VLOOKUP((V18/MAlength*150),CanterScore,2,TRUE)))</f>
        <v/>
      </c>
      <c r="Y18" s="17"/>
      <c r="Z18" s="17"/>
      <c r="AA18" s="18" t="str">
        <f>IF(C18="","",IF(OR(Interm[[#This Row],[Outside/Broke (O/B)2]]="O",Interm[[#This Row],[Outside/Broke (O/B)2]]="B"),0,IF((Y18/MAlength*150)=0, 0,IF((Y18/MAlength*150)&lt;'MA calc'!$A$4, 15, VLOOKUP((Y18/MAlength*150),WalkScore,2,TRUE)))))</f>
        <v/>
      </c>
      <c r="AB18" s="17"/>
    </row>
    <row r="19" spans="1:28" s="35" customFormat="1" x14ac:dyDescent="0.3">
      <c r="A19" s="17"/>
      <c r="B19" s="17"/>
      <c r="C19" s="17"/>
      <c r="D19" s="17"/>
      <c r="E19" s="17"/>
      <c r="F19" s="17"/>
      <c r="G19" s="17" t="str">
        <f t="shared" si="0"/>
        <v/>
      </c>
      <c r="H19" s="52" t="str">
        <f>IF(Interm[[#This Row],[RIDER]]="","",IF((COUNTIF(J19, "E")), "E", (SUM(J19+I19))))</f>
        <v/>
      </c>
      <c r="I19" s="52" t="str">
        <f>IF(Interm[[#This Row],[RIDER]]="","",SUM(X19,AA19))</f>
        <v/>
      </c>
      <c r="J19" s="42" t="str">
        <f>IF(Interm[[#This Row],[RIDER]]="","",IF(COUNTIF(K19:T19, "E"), "E",(SUM(K19:T19)-U19)))</f>
        <v/>
      </c>
      <c r="K19" s="17">
        <v>0</v>
      </c>
      <c r="L19" s="17">
        <v>0</v>
      </c>
      <c r="M19" s="17">
        <v>0</v>
      </c>
      <c r="N19" s="17">
        <v>0</v>
      </c>
      <c r="O19" s="17">
        <v>0</v>
      </c>
      <c r="P19" s="17">
        <v>0</v>
      </c>
      <c r="Q19" s="17">
        <v>0</v>
      </c>
      <c r="R19" s="17">
        <v>0</v>
      </c>
      <c r="S19" s="17">
        <v>0</v>
      </c>
      <c r="T19" s="17">
        <v>0</v>
      </c>
      <c r="U19" s="17">
        <v>0</v>
      </c>
      <c r="V19" s="17"/>
      <c r="W19" s="17"/>
      <c r="X19" s="18" t="str">
        <f>IF(C19="","",IF(OR(Interm[[#This Row],[Outside/Broke (O/B)]]="O",Interm[[#This Row],[Outside/Broke (O/B)]]="B"),0,VLOOKUP((V19/MAlength*150),CanterScore,2,TRUE)))</f>
        <v/>
      </c>
      <c r="Y19" s="17"/>
      <c r="Z19" s="17"/>
      <c r="AA19" s="18" t="str">
        <f>IF(C19="","",IF(OR(Interm[[#This Row],[Outside/Broke (O/B)2]]="O",Interm[[#This Row],[Outside/Broke (O/B)2]]="B"),0,IF((Y19/MAlength*150)=0, 0,IF((Y19/MAlength*150)&lt;'MA calc'!$A$4, 15, VLOOKUP((Y19/MAlength*150),WalkScore,2,TRUE)))))</f>
        <v/>
      </c>
      <c r="AB19" s="17"/>
    </row>
    <row r="20" spans="1:28" s="35" customFormat="1" x14ac:dyDescent="0.3">
      <c r="A20" s="17"/>
      <c r="B20" s="17"/>
      <c r="C20" s="17"/>
      <c r="D20" s="17"/>
      <c r="E20" s="17"/>
      <c r="F20" s="17"/>
      <c r="G20" s="17" t="str">
        <f t="shared" si="0"/>
        <v/>
      </c>
      <c r="H20" s="52" t="str">
        <f>IF(Interm[[#This Row],[RIDER]]="","",IF((COUNTIF(J20, "E")), "E", (SUM(J20+I20))))</f>
        <v/>
      </c>
      <c r="I20" s="52" t="str">
        <f>IF(Interm[[#This Row],[RIDER]]="","",SUM(X20,AA20))</f>
        <v/>
      </c>
      <c r="J20" s="42" t="str">
        <f>IF(Interm[[#This Row],[RIDER]]="","",IF(COUNTIF(K20:T20, "E"), "E",(SUM(K20:T20)-U20)))</f>
        <v/>
      </c>
      <c r="K20" s="17">
        <v>0</v>
      </c>
      <c r="L20" s="17">
        <v>0</v>
      </c>
      <c r="M20" s="17">
        <v>0</v>
      </c>
      <c r="N20" s="17">
        <v>0</v>
      </c>
      <c r="O20" s="17">
        <v>0</v>
      </c>
      <c r="P20" s="17">
        <v>0</v>
      </c>
      <c r="Q20" s="17">
        <v>0</v>
      </c>
      <c r="R20" s="17">
        <v>0</v>
      </c>
      <c r="S20" s="17">
        <v>0</v>
      </c>
      <c r="T20" s="17">
        <v>0</v>
      </c>
      <c r="U20" s="17">
        <v>0</v>
      </c>
      <c r="V20" s="17"/>
      <c r="W20" s="17"/>
      <c r="X20" s="18" t="str">
        <f>IF(C20="","",IF(OR(Interm[[#This Row],[Outside/Broke (O/B)]]="O",Interm[[#This Row],[Outside/Broke (O/B)]]="B"),0,VLOOKUP((V20/MAlength*150),CanterScore,2,TRUE)))</f>
        <v/>
      </c>
      <c r="Y20" s="17"/>
      <c r="Z20" s="17"/>
      <c r="AA20" s="18" t="str">
        <f>IF(C20="","",IF(OR(Interm[[#This Row],[Outside/Broke (O/B)2]]="O",Interm[[#This Row],[Outside/Broke (O/B)2]]="B"),0,IF((Y20/MAlength*150)=0, 0,IF((Y20/MAlength*150)&lt;'MA calc'!$A$4, 15, VLOOKUP((Y20/MAlength*150),WalkScore,2,TRUE)))))</f>
        <v/>
      </c>
      <c r="AB20" s="17"/>
    </row>
    <row r="21" spans="1:28" s="35" customFormat="1" x14ac:dyDescent="0.3">
      <c r="A21" s="17"/>
      <c r="B21" s="17"/>
      <c r="C21" s="17"/>
      <c r="D21" s="17"/>
      <c r="E21" s="17"/>
      <c r="F21" s="17"/>
      <c r="G21" s="17" t="str">
        <f t="shared" si="0"/>
        <v/>
      </c>
      <c r="H21" s="52" t="str">
        <f>IF(Interm[[#This Row],[RIDER]]="","",IF((COUNTIF(J21, "E")), "E", (SUM(J21+I21))))</f>
        <v/>
      </c>
      <c r="I21" s="52" t="str">
        <f>IF(Interm[[#This Row],[RIDER]]="","",SUM(X21,AA21))</f>
        <v/>
      </c>
      <c r="J21" s="42" t="str">
        <f>IF(Interm[[#This Row],[RIDER]]="","",IF(COUNTIF(K21:T21, "E"), "E",(SUM(K21:T21)-U21)))</f>
        <v/>
      </c>
      <c r="K21" s="17">
        <v>0</v>
      </c>
      <c r="L21" s="17">
        <v>0</v>
      </c>
      <c r="M21" s="17">
        <v>0</v>
      </c>
      <c r="N21" s="17">
        <v>0</v>
      </c>
      <c r="O21" s="17">
        <v>0</v>
      </c>
      <c r="P21" s="17">
        <v>0</v>
      </c>
      <c r="Q21" s="17">
        <v>0</v>
      </c>
      <c r="R21" s="17">
        <v>0</v>
      </c>
      <c r="S21" s="17">
        <v>0</v>
      </c>
      <c r="T21" s="17">
        <v>0</v>
      </c>
      <c r="U21" s="17">
        <v>0</v>
      </c>
      <c r="V21" s="17"/>
      <c r="W21" s="17"/>
      <c r="X21" s="18" t="str">
        <f>IF(C21="","",IF(OR(Interm[[#This Row],[Outside/Broke (O/B)]]="O",Interm[[#This Row],[Outside/Broke (O/B)]]="B"),0,VLOOKUP((V21/MAlength*150),CanterScore,2,TRUE)))</f>
        <v/>
      </c>
      <c r="Y21" s="17"/>
      <c r="Z21" s="17"/>
      <c r="AA21" s="18" t="str">
        <f>IF(C21="","",IF(OR(Interm[[#This Row],[Outside/Broke (O/B)2]]="O",Interm[[#This Row],[Outside/Broke (O/B)2]]="B"),0,IF((Y21/MAlength*150)=0, 0,IF((Y21/MAlength*150)&lt;'MA calc'!$A$4, 15, VLOOKUP((Y21/MAlength*150),WalkScore,2,TRUE)))))</f>
        <v/>
      </c>
      <c r="AB21" s="17"/>
    </row>
    <row r="22" spans="1:28" s="35" customFormat="1" x14ac:dyDescent="0.3">
      <c r="A22" s="17"/>
      <c r="B22" s="17"/>
      <c r="C22" s="17"/>
      <c r="D22" s="17"/>
      <c r="E22" s="17"/>
      <c r="F22" s="17"/>
      <c r="G22" s="17" t="str">
        <f t="shared" si="0"/>
        <v/>
      </c>
      <c r="H22" s="52" t="str">
        <f>IF(Interm[[#This Row],[RIDER]]="","",IF((COUNTIF(J22, "E")), "E", (SUM(J22+I22))))</f>
        <v/>
      </c>
      <c r="I22" s="52" t="str">
        <f>IF(Interm[[#This Row],[RIDER]]="","",SUM(X22,AA22))</f>
        <v/>
      </c>
      <c r="J22" s="42" t="str">
        <f>IF(Interm[[#This Row],[RIDER]]="","",IF(COUNTIF(K22:T22, "E"), "E",(SUM(K22:T22)-U22)))</f>
        <v/>
      </c>
      <c r="K22" s="17">
        <v>0</v>
      </c>
      <c r="L22" s="17">
        <v>0</v>
      </c>
      <c r="M22" s="17">
        <v>0</v>
      </c>
      <c r="N22" s="17">
        <v>0</v>
      </c>
      <c r="O22" s="17">
        <v>0</v>
      </c>
      <c r="P22" s="17">
        <v>0</v>
      </c>
      <c r="Q22" s="17">
        <v>0</v>
      </c>
      <c r="R22" s="17">
        <v>0</v>
      </c>
      <c r="S22" s="17">
        <v>0</v>
      </c>
      <c r="T22" s="17">
        <v>0</v>
      </c>
      <c r="U22" s="17">
        <v>0</v>
      </c>
      <c r="V22" s="17"/>
      <c r="W22" s="17"/>
      <c r="X22" s="18" t="str">
        <f>IF(C22="","",IF(OR(Interm[[#This Row],[Outside/Broke (O/B)]]="O",Interm[[#This Row],[Outside/Broke (O/B)]]="B"),0,VLOOKUP((V22/MAlength*150),CanterScore,2,TRUE)))</f>
        <v/>
      </c>
      <c r="Y22" s="17"/>
      <c r="Z22" s="17"/>
      <c r="AA22" s="18" t="str">
        <f>IF(C22="","",IF(OR(Interm[[#This Row],[Outside/Broke (O/B)2]]="O",Interm[[#This Row],[Outside/Broke (O/B)2]]="B"),0,IF((Y22/MAlength*150)=0, 0,IF((Y22/MAlength*150)&lt;'MA calc'!$A$4, 15, VLOOKUP((Y22/MAlength*150),WalkScore,2,TRUE)))))</f>
        <v/>
      </c>
      <c r="AB22" s="17"/>
    </row>
    <row r="23" spans="1:28" s="35" customFormat="1" x14ac:dyDescent="0.3">
      <c r="A23" s="17"/>
      <c r="B23" s="17"/>
      <c r="C23" s="17"/>
      <c r="D23" s="17"/>
      <c r="E23" s="17"/>
      <c r="F23" s="17"/>
      <c r="G23" s="17" t="str">
        <f t="shared" si="0"/>
        <v/>
      </c>
      <c r="H23" s="52" t="str">
        <f>IF(Interm[[#This Row],[RIDER]]="","",IF((COUNTIF(J23, "E")), "E", (SUM(J23+I23))))</f>
        <v/>
      </c>
      <c r="I23" s="52" t="str">
        <f>IF(Interm[[#This Row],[RIDER]]="","",SUM(X23,AA23))</f>
        <v/>
      </c>
      <c r="J23" s="42" t="str">
        <f>IF(Interm[[#This Row],[RIDER]]="","",IF(COUNTIF(K23:T23, "E"), "E",(SUM(K23:T23)-U23)))</f>
        <v/>
      </c>
      <c r="K23" s="17">
        <v>0</v>
      </c>
      <c r="L23" s="17">
        <v>0</v>
      </c>
      <c r="M23" s="17">
        <v>0</v>
      </c>
      <c r="N23" s="17">
        <v>0</v>
      </c>
      <c r="O23" s="17">
        <v>0</v>
      </c>
      <c r="P23" s="17">
        <v>0</v>
      </c>
      <c r="Q23" s="17">
        <v>0</v>
      </c>
      <c r="R23" s="17">
        <v>0</v>
      </c>
      <c r="S23" s="17">
        <v>0</v>
      </c>
      <c r="T23" s="17">
        <v>0</v>
      </c>
      <c r="U23" s="17">
        <v>0</v>
      </c>
      <c r="V23" s="17"/>
      <c r="W23" s="17"/>
      <c r="X23" s="18" t="str">
        <f>IF(C23="","",IF(OR(Interm[[#This Row],[Outside/Broke (O/B)]]="O",Interm[[#This Row],[Outside/Broke (O/B)]]="B"),0,VLOOKUP((V23/MAlength*150),CanterScore,2,TRUE)))</f>
        <v/>
      </c>
      <c r="Y23" s="17"/>
      <c r="Z23" s="17"/>
      <c r="AA23" s="18" t="str">
        <f>IF(C23="","",IF(OR(Interm[[#This Row],[Outside/Broke (O/B)2]]="O",Interm[[#This Row],[Outside/Broke (O/B)2]]="B"),0,IF((Y23/MAlength*150)=0, 0,IF((Y23/MAlength*150)&lt;'MA calc'!$A$4, 15, VLOOKUP((Y23/MAlength*150),WalkScore,2,TRUE)))))</f>
        <v/>
      </c>
      <c r="AB23" s="17"/>
    </row>
    <row r="24" spans="1:28" s="35" customFormat="1" x14ac:dyDescent="0.3">
      <c r="A24" s="17"/>
      <c r="B24" s="17"/>
      <c r="C24" s="17"/>
      <c r="D24" s="17"/>
      <c r="E24" s="17"/>
      <c r="F24" s="17"/>
      <c r="G24" s="17" t="str">
        <f t="shared" si="0"/>
        <v/>
      </c>
      <c r="H24" s="52" t="str">
        <f>IF(Interm[[#This Row],[RIDER]]="","",IF((COUNTIF(J24, "E")), "E", (SUM(J24+I24))))</f>
        <v/>
      </c>
      <c r="I24" s="52" t="str">
        <f>IF(Interm[[#This Row],[RIDER]]="","",SUM(X24,AA24))</f>
        <v/>
      </c>
      <c r="J24" s="42" t="str">
        <f>IF(Interm[[#This Row],[RIDER]]="","",IF(COUNTIF(K24:T24, "E"), "E",(SUM(K24:T24)-U24)))</f>
        <v/>
      </c>
      <c r="K24" s="17">
        <v>0</v>
      </c>
      <c r="L24" s="17">
        <v>0</v>
      </c>
      <c r="M24" s="17">
        <v>0</v>
      </c>
      <c r="N24" s="17">
        <v>0</v>
      </c>
      <c r="O24" s="17">
        <v>0</v>
      </c>
      <c r="P24" s="17">
        <v>0</v>
      </c>
      <c r="Q24" s="17">
        <v>0</v>
      </c>
      <c r="R24" s="17">
        <v>0</v>
      </c>
      <c r="S24" s="17">
        <v>0</v>
      </c>
      <c r="T24" s="17">
        <v>0</v>
      </c>
      <c r="U24" s="17">
        <v>0</v>
      </c>
      <c r="V24" s="17"/>
      <c r="W24" s="17"/>
      <c r="X24" s="18" t="str">
        <f>IF(C24="","",IF(OR(Interm[[#This Row],[Outside/Broke (O/B)]]="O",Interm[[#This Row],[Outside/Broke (O/B)]]="B"),0,VLOOKUP((V24/MAlength*150),CanterScore,2,TRUE)))</f>
        <v/>
      </c>
      <c r="Y24" s="17"/>
      <c r="Z24" s="17"/>
      <c r="AA24" s="18" t="str">
        <f>IF(C24="","",IF(OR(Interm[[#This Row],[Outside/Broke (O/B)2]]="O",Interm[[#This Row],[Outside/Broke (O/B)2]]="B"),0,IF((Y24/MAlength*150)=0, 0,IF((Y24/MAlength*150)&lt;'MA calc'!$A$4, 15, VLOOKUP((Y24/MAlength*150),WalkScore,2,TRUE)))))</f>
        <v/>
      </c>
      <c r="AB24" s="17"/>
    </row>
    <row r="25" spans="1:28" s="35" customFormat="1" x14ac:dyDescent="0.3">
      <c r="A25" s="17"/>
      <c r="B25" s="17"/>
      <c r="C25" s="17"/>
      <c r="D25" s="17"/>
      <c r="E25" s="17"/>
      <c r="F25" s="17"/>
      <c r="G25" s="17" t="str">
        <f t="shared" si="0"/>
        <v/>
      </c>
      <c r="H25" s="52" t="str">
        <f>IF(Interm[[#This Row],[RIDER]]="","",IF((COUNTIF(J25, "E")), "E", (SUM(J25+I25))))</f>
        <v/>
      </c>
      <c r="I25" s="52" t="str">
        <f>IF(Interm[[#This Row],[RIDER]]="","",SUM(X25,AA25))</f>
        <v/>
      </c>
      <c r="J25" s="42" t="str">
        <f>IF(Interm[[#This Row],[RIDER]]="","",IF(COUNTIF(K25:T25, "E"), "E",(SUM(K25:T25)-U25)))</f>
        <v/>
      </c>
      <c r="K25" s="17">
        <v>0</v>
      </c>
      <c r="L25" s="17">
        <v>0</v>
      </c>
      <c r="M25" s="17">
        <v>0</v>
      </c>
      <c r="N25" s="17">
        <v>0</v>
      </c>
      <c r="O25" s="17">
        <v>0</v>
      </c>
      <c r="P25" s="17">
        <v>0</v>
      </c>
      <c r="Q25" s="17">
        <v>0</v>
      </c>
      <c r="R25" s="17">
        <v>0</v>
      </c>
      <c r="S25" s="17">
        <v>0</v>
      </c>
      <c r="T25" s="17">
        <v>0</v>
      </c>
      <c r="U25" s="17">
        <v>0</v>
      </c>
      <c r="V25" s="17"/>
      <c r="W25" s="17"/>
      <c r="X25" s="18" t="str">
        <f>IF(C25="","",IF(OR(Interm[[#This Row],[Outside/Broke (O/B)]]="O",Interm[[#This Row],[Outside/Broke (O/B)]]="B"),0,VLOOKUP((V25/MAlength*150),CanterScore,2,TRUE)))</f>
        <v/>
      </c>
      <c r="Y25" s="17"/>
      <c r="Z25" s="17"/>
      <c r="AA25" s="18" t="str">
        <f>IF(C25="","",IF(OR(Interm[[#This Row],[Outside/Broke (O/B)2]]="O",Interm[[#This Row],[Outside/Broke (O/B)2]]="B"),0,IF((Y25/MAlength*150)=0, 0,IF((Y25/MAlength*150)&lt;'MA calc'!$A$4, 15, VLOOKUP((Y25/MAlength*150),WalkScore,2,TRUE)))))</f>
        <v/>
      </c>
      <c r="AB25" s="17"/>
    </row>
    <row r="26" spans="1:28" s="35" customFormat="1" x14ac:dyDescent="0.3">
      <c r="A26" s="17"/>
      <c r="B26" s="17"/>
      <c r="C26" s="17"/>
      <c r="D26" s="17"/>
      <c r="E26" s="17"/>
      <c r="F26" s="17"/>
      <c r="G26" s="17" t="str">
        <f t="shared" si="0"/>
        <v/>
      </c>
      <c r="H26" s="52" t="str">
        <f>IF(Interm[[#This Row],[RIDER]]="","",IF((COUNTIF(J26, "E")), "E", (SUM(J26+I26))))</f>
        <v/>
      </c>
      <c r="I26" s="52" t="str">
        <f>IF(Interm[[#This Row],[RIDER]]="","",SUM(X26,AA26))</f>
        <v/>
      </c>
      <c r="J26" s="42" t="str">
        <f>IF(Interm[[#This Row],[RIDER]]="","",IF(COUNTIF(K26:T26, "E"), "E",(SUM(K26:T26)-U26)))</f>
        <v/>
      </c>
      <c r="K26" s="17">
        <v>0</v>
      </c>
      <c r="L26" s="17">
        <v>0</v>
      </c>
      <c r="M26" s="17">
        <v>0</v>
      </c>
      <c r="N26" s="17">
        <v>0</v>
      </c>
      <c r="O26" s="17">
        <v>0</v>
      </c>
      <c r="P26" s="17">
        <v>0</v>
      </c>
      <c r="Q26" s="17">
        <v>0</v>
      </c>
      <c r="R26" s="17">
        <v>0</v>
      </c>
      <c r="S26" s="17">
        <v>0</v>
      </c>
      <c r="T26" s="17">
        <v>0</v>
      </c>
      <c r="U26" s="17">
        <v>0</v>
      </c>
      <c r="V26" s="17"/>
      <c r="W26" s="17"/>
      <c r="X26" s="18" t="str">
        <f>IF(C26="","",IF(OR(Interm[[#This Row],[Outside/Broke (O/B)]]="O",Interm[[#This Row],[Outside/Broke (O/B)]]="B"),0,VLOOKUP((V26/MAlength*150),CanterScore,2,TRUE)))</f>
        <v/>
      </c>
      <c r="Y26" s="17"/>
      <c r="Z26" s="17"/>
      <c r="AA26" s="18" t="str">
        <f>IF(C26="","",IF(OR(Interm[[#This Row],[Outside/Broke (O/B)2]]="O",Interm[[#This Row],[Outside/Broke (O/B)2]]="B"),0,IF((Y26/MAlength*150)=0, 0,IF((Y26/MAlength*150)&lt;'MA calc'!$A$4, 15, VLOOKUP((Y26/MAlength*150),WalkScore,2,TRUE)))))</f>
        <v/>
      </c>
      <c r="AB26" s="17"/>
    </row>
    <row r="27" spans="1:28" s="35" customFormat="1" x14ac:dyDescent="0.3">
      <c r="A27" s="17"/>
      <c r="B27" s="17"/>
      <c r="C27" s="17"/>
      <c r="D27" s="17"/>
      <c r="E27" s="17"/>
      <c r="F27" s="17"/>
      <c r="G27" s="17" t="str">
        <f t="shared" si="0"/>
        <v/>
      </c>
      <c r="H27" s="52" t="str">
        <f>IF(Interm[[#This Row],[RIDER]]="","",IF((COUNTIF(J27, "E")), "E", (SUM(J27+I27))))</f>
        <v/>
      </c>
      <c r="I27" s="52" t="str">
        <f>IF(Interm[[#This Row],[RIDER]]="","",SUM(X27,AA27))</f>
        <v/>
      </c>
      <c r="J27" s="42" t="str">
        <f>IF(Interm[[#This Row],[RIDER]]="","",IF(COUNTIF(K27:T27, "E"), "E",(SUM(K27:T27)-U27)))</f>
        <v/>
      </c>
      <c r="K27" s="17">
        <v>0</v>
      </c>
      <c r="L27" s="17">
        <v>0</v>
      </c>
      <c r="M27" s="17">
        <v>0</v>
      </c>
      <c r="N27" s="17">
        <v>0</v>
      </c>
      <c r="O27" s="17">
        <v>0</v>
      </c>
      <c r="P27" s="17">
        <v>0</v>
      </c>
      <c r="Q27" s="17">
        <v>0</v>
      </c>
      <c r="R27" s="17">
        <v>0</v>
      </c>
      <c r="S27" s="17">
        <v>0</v>
      </c>
      <c r="T27" s="17">
        <v>0</v>
      </c>
      <c r="U27" s="17">
        <v>0</v>
      </c>
      <c r="V27" s="17"/>
      <c r="W27" s="17"/>
      <c r="X27" s="18" t="str">
        <f>IF(C27="","",IF(OR(Interm[[#This Row],[Outside/Broke (O/B)]]="O",Interm[[#This Row],[Outside/Broke (O/B)]]="B"),0,VLOOKUP((V27/MAlength*150),CanterScore,2,TRUE)))</f>
        <v/>
      </c>
      <c r="Y27" s="17"/>
      <c r="Z27" s="17"/>
      <c r="AA27" s="18" t="str">
        <f>IF(C27="","",IF(OR(Interm[[#This Row],[Outside/Broke (O/B)2]]="O",Interm[[#This Row],[Outside/Broke (O/B)2]]="B"),0,IF((Y27/MAlength*150)=0, 0,IF((Y27/MAlength*150)&lt;'MA calc'!$A$4, 15, VLOOKUP((Y27/MAlength*150),WalkScore,2,TRUE)))))</f>
        <v/>
      </c>
      <c r="AB27" s="17"/>
    </row>
    <row r="28" spans="1:28" s="35" customFormat="1" x14ac:dyDescent="0.3">
      <c r="A28" s="17"/>
      <c r="B28" s="17"/>
      <c r="C28" s="17"/>
      <c r="D28" s="17"/>
      <c r="E28" s="17"/>
      <c r="F28" s="17"/>
      <c r="G28" s="17" t="str">
        <f t="shared" si="0"/>
        <v/>
      </c>
      <c r="H28" s="52" t="str">
        <f>IF(Interm[[#This Row],[RIDER]]="","",IF((COUNTIF(J28, "E")), "E", (SUM(J28+I28))))</f>
        <v/>
      </c>
      <c r="I28" s="52" t="str">
        <f>IF(Interm[[#This Row],[RIDER]]="","",SUM(X28,AA28))</f>
        <v/>
      </c>
      <c r="J28" s="42" t="str">
        <f>IF(Interm[[#This Row],[RIDER]]="","",IF(COUNTIF(K28:T28, "E"), "E",(SUM(K28:T28)-U28)))</f>
        <v/>
      </c>
      <c r="K28" s="17">
        <v>0</v>
      </c>
      <c r="L28" s="17">
        <v>0</v>
      </c>
      <c r="M28" s="17">
        <v>0</v>
      </c>
      <c r="N28" s="17">
        <v>0</v>
      </c>
      <c r="O28" s="17">
        <v>0</v>
      </c>
      <c r="P28" s="17">
        <v>0</v>
      </c>
      <c r="Q28" s="17">
        <v>0</v>
      </c>
      <c r="R28" s="17">
        <v>0</v>
      </c>
      <c r="S28" s="17">
        <v>0</v>
      </c>
      <c r="T28" s="17">
        <v>0</v>
      </c>
      <c r="U28" s="17">
        <v>0</v>
      </c>
      <c r="V28" s="17"/>
      <c r="W28" s="17"/>
      <c r="X28" s="18" t="str">
        <f>IF(C28="","",IF(OR(Interm[[#This Row],[Outside/Broke (O/B)]]="O",Interm[[#This Row],[Outside/Broke (O/B)]]="B"),0,VLOOKUP((V28/MAlength*150),CanterScore,2,TRUE)))</f>
        <v/>
      </c>
      <c r="Y28" s="17"/>
      <c r="Z28" s="17"/>
      <c r="AA28" s="18" t="str">
        <f>IF(C28="","",IF(OR(Interm[[#This Row],[Outside/Broke (O/B)2]]="O",Interm[[#This Row],[Outside/Broke (O/B)2]]="B"),0,IF((Y28/MAlength*150)=0, 0,IF((Y28/MAlength*150)&lt;'MA calc'!$A$4, 15, VLOOKUP((Y28/MAlength*150),WalkScore,2,TRUE)))))</f>
        <v/>
      </c>
      <c r="AB28" s="17"/>
    </row>
    <row r="29" spans="1:28" s="35" customFormat="1" x14ac:dyDescent="0.3">
      <c r="A29" s="17"/>
      <c r="B29" s="17"/>
      <c r="C29" s="17"/>
      <c r="D29" s="17"/>
      <c r="E29" s="17"/>
      <c r="F29" s="17"/>
      <c r="G29" s="17" t="str">
        <f t="shared" si="0"/>
        <v/>
      </c>
      <c r="H29" s="52" t="str">
        <f>IF(Interm[[#This Row],[RIDER]]="","",IF((COUNTIF(J29, "E")), "E", (SUM(J29+I29))))</f>
        <v/>
      </c>
      <c r="I29" s="52" t="str">
        <f>IF(Interm[[#This Row],[RIDER]]="","",SUM(X29,AA29))</f>
        <v/>
      </c>
      <c r="J29" s="42" t="str">
        <f>IF(Interm[[#This Row],[RIDER]]="","",IF(COUNTIF(K29:T29, "E"), "E",(SUM(K29:T29)-U29)))</f>
        <v/>
      </c>
      <c r="K29" s="17">
        <v>0</v>
      </c>
      <c r="L29" s="17">
        <v>0</v>
      </c>
      <c r="M29" s="17">
        <v>0</v>
      </c>
      <c r="N29" s="17">
        <v>0</v>
      </c>
      <c r="O29" s="17">
        <v>0</v>
      </c>
      <c r="P29" s="17">
        <v>0</v>
      </c>
      <c r="Q29" s="17">
        <v>0</v>
      </c>
      <c r="R29" s="17">
        <v>0</v>
      </c>
      <c r="S29" s="17">
        <v>0</v>
      </c>
      <c r="T29" s="17">
        <v>0</v>
      </c>
      <c r="U29" s="17">
        <v>0</v>
      </c>
      <c r="V29" s="17"/>
      <c r="W29" s="17"/>
      <c r="X29" s="18" t="str">
        <f>IF(C29="","",IF(OR(Interm[[#This Row],[Outside/Broke (O/B)]]="O",Interm[[#This Row],[Outside/Broke (O/B)]]="B"),0,VLOOKUP((V29/MAlength*150),CanterScore,2,TRUE)))</f>
        <v/>
      </c>
      <c r="Y29" s="17"/>
      <c r="Z29" s="17"/>
      <c r="AA29" s="18" t="str">
        <f>IF(C29="","",IF(OR(Interm[[#This Row],[Outside/Broke (O/B)2]]="O",Interm[[#This Row],[Outside/Broke (O/B)2]]="B"),0,IF((Y29/MAlength*150)=0, 0,IF((Y29/MAlength*150)&lt;'MA calc'!$A$4, 15, VLOOKUP((Y29/MAlength*150),WalkScore,2,TRUE)))))</f>
        <v/>
      </c>
      <c r="AB29" s="17"/>
    </row>
    <row r="30" spans="1:28" s="35" customFormat="1" x14ac:dyDescent="0.3">
      <c r="A30" s="17"/>
      <c r="B30" s="17"/>
      <c r="C30" s="17"/>
      <c r="D30" s="17"/>
      <c r="E30" s="17"/>
      <c r="F30" s="17"/>
      <c r="G30" s="17" t="str">
        <f t="shared" si="0"/>
        <v/>
      </c>
      <c r="H30" s="52" t="str">
        <f>IF(Interm[[#This Row],[RIDER]]="","",IF((COUNTIF(J30, "E")), "E", (SUM(J30+I30))))</f>
        <v/>
      </c>
      <c r="I30" s="52" t="str">
        <f>IF(Interm[[#This Row],[RIDER]]="","",SUM(X30,AA30))</f>
        <v/>
      </c>
      <c r="J30" s="42" t="str">
        <f>IF(Interm[[#This Row],[RIDER]]="","",IF(COUNTIF(K30:T30, "E"), "E",(SUM(K30:T30)-U30)))</f>
        <v/>
      </c>
      <c r="K30" s="17">
        <v>0</v>
      </c>
      <c r="L30" s="17">
        <v>0</v>
      </c>
      <c r="M30" s="17">
        <v>0</v>
      </c>
      <c r="N30" s="17">
        <v>0</v>
      </c>
      <c r="O30" s="17">
        <v>0</v>
      </c>
      <c r="P30" s="17">
        <v>0</v>
      </c>
      <c r="Q30" s="17">
        <v>0</v>
      </c>
      <c r="R30" s="17">
        <v>0</v>
      </c>
      <c r="S30" s="17">
        <v>0</v>
      </c>
      <c r="T30" s="17">
        <v>0</v>
      </c>
      <c r="U30" s="17">
        <v>0</v>
      </c>
      <c r="V30" s="17"/>
      <c r="W30" s="17"/>
      <c r="X30" s="18" t="str">
        <f>IF(C30="","",IF(OR(Interm[[#This Row],[Outside/Broke (O/B)]]="O",Interm[[#This Row],[Outside/Broke (O/B)]]="B"),0,VLOOKUP((V30/MAlength*150),CanterScore,2,TRUE)))</f>
        <v/>
      </c>
      <c r="Y30" s="17"/>
      <c r="Z30" s="17"/>
      <c r="AA30" s="18" t="str">
        <f>IF(C30="","",IF(OR(Interm[[#This Row],[Outside/Broke (O/B)2]]="O",Interm[[#This Row],[Outside/Broke (O/B)2]]="B"),0,IF((Y30/MAlength*150)=0, 0,IF((Y30/MAlength*150)&lt;'MA calc'!$A$4, 15, VLOOKUP((Y30/MAlength*150),WalkScore,2,TRUE)))))</f>
        <v/>
      </c>
      <c r="AB30" s="17"/>
    </row>
    <row r="31" spans="1:28" s="35" customFormat="1" x14ac:dyDescent="0.3">
      <c r="A31" s="17"/>
      <c r="B31" s="17"/>
      <c r="C31" s="17"/>
      <c r="D31" s="17"/>
      <c r="E31" s="17"/>
      <c r="F31" s="17"/>
      <c r="G31" s="17" t="str">
        <f t="shared" si="0"/>
        <v/>
      </c>
      <c r="H31" s="52" t="str">
        <f>IF(Interm[[#This Row],[RIDER]]="","",IF((COUNTIF(J31, "E")), "E", (SUM(J31+I31))))</f>
        <v/>
      </c>
      <c r="I31" s="52" t="str">
        <f>IF(Interm[[#This Row],[RIDER]]="","",SUM(X31,AA31))</f>
        <v/>
      </c>
      <c r="J31" s="42" t="str">
        <f>IF(Interm[[#This Row],[RIDER]]="","",IF(COUNTIF(K31:T31, "E"), "E",(SUM(K31:T31)-U31)))</f>
        <v/>
      </c>
      <c r="K31" s="17">
        <v>0</v>
      </c>
      <c r="L31" s="17">
        <v>0</v>
      </c>
      <c r="M31" s="17">
        <v>0</v>
      </c>
      <c r="N31" s="17">
        <v>0</v>
      </c>
      <c r="O31" s="17">
        <v>0</v>
      </c>
      <c r="P31" s="17">
        <v>0</v>
      </c>
      <c r="Q31" s="17">
        <v>0</v>
      </c>
      <c r="R31" s="17">
        <v>0</v>
      </c>
      <c r="S31" s="17">
        <v>0</v>
      </c>
      <c r="T31" s="17">
        <v>0</v>
      </c>
      <c r="U31" s="17">
        <v>0</v>
      </c>
      <c r="V31" s="17"/>
      <c r="W31" s="17"/>
      <c r="X31" s="18" t="str">
        <f>IF(C31="","",IF(OR(Interm[[#This Row],[Outside/Broke (O/B)]]="O",Interm[[#This Row],[Outside/Broke (O/B)]]="B"),0,VLOOKUP((V31/MAlength*150),CanterScore,2,TRUE)))</f>
        <v/>
      </c>
      <c r="Y31" s="17"/>
      <c r="Z31" s="17"/>
      <c r="AA31" s="18" t="str">
        <f>IF(C31="","",IF(OR(Interm[[#This Row],[Outside/Broke (O/B)2]]="O",Interm[[#This Row],[Outside/Broke (O/B)2]]="B"),0,IF((Y31/MAlength*150)=0, 0,IF((Y31/MAlength*150)&lt;'MA calc'!$A$4, 15, VLOOKUP((Y31/MAlength*150),WalkScore,2,TRUE)))))</f>
        <v/>
      </c>
      <c r="AB31" s="17"/>
    </row>
    <row r="32" spans="1:28" s="35" customFormat="1" x14ac:dyDescent="0.3">
      <c r="A32" s="17"/>
      <c r="B32" s="17"/>
      <c r="C32" s="17"/>
      <c r="D32" s="17"/>
      <c r="E32" s="17"/>
      <c r="F32" s="17"/>
      <c r="G32" s="17" t="str">
        <f t="shared" si="0"/>
        <v/>
      </c>
      <c r="H32" s="52" t="str">
        <f>IF(Interm[[#This Row],[RIDER]]="","",IF((COUNTIF(J32, "E")), "E", (SUM(J32+I32))))</f>
        <v/>
      </c>
      <c r="I32" s="52" t="str">
        <f>IF(Interm[[#This Row],[RIDER]]="","",SUM(X32,AA32))</f>
        <v/>
      </c>
      <c r="J32" s="42" t="str">
        <f>IF(Interm[[#This Row],[RIDER]]="","",IF(COUNTIF(K32:T32, "E"), "E",(SUM(K32:T32)-U32)))</f>
        <v/>
      </c>
      <c r="K32" s="17">
        <v>0</v>
      </c>
      <c r="L32" s="17">
        <v>0</v>
      </c>
      <c r="M32" s="17">
        <v>0</v>
      </c>
      <c r="N32" s="17">
        <v>0</v>
      </c>
      <c r="O32" s="17">
        <v>0</v>
      </c>
      <c r="P32" s="17">
        <v>0</v>
      </c>
      <c r="Q32" s="17">
        <v>0</v>
      </c>
      <c r="R32" s="17">
        <v>0</v>
      </c>
      <c r="S32" s="17">
        <v>0</v>
      </c>
      <c r="T32" s="17">
        <v>0</v>
      </c>
      <c r="U32" s="17">
        <v>0</v>
      </c>
      <c r="V32" s="17"/>
      <c r="W32" s="17"/>
      <c r="X32" s="18" t="str">
        <f>IF(C32="","",IF(OR(Interm[[#This Row],[Outside/Broke (O/B)]]="O",Interm[[#This Row],[Outside/Broke (O/B)]]="B"),0,VLOOKUP((V32/MAlength*150),CanterScore,2,TRUE)))</f>
        <v/>
      </c>
      <c r="Y32" s="17"/>
      <c r="Z32" s="17"/>
      <c r="AA32" s="18" t="str">
        <f>IF(C32="","",IF(OR(Interm[[#This Row],[Outside/Broke (O/B)2]]="O",Interm[[#This Row],[Outside/Broke (O/B)2]]="B"),0,IF((Y32/MAlength*150)=0, 0,IF((Y32/MAlength*150)&lt;'MA calc'!$A$4, 15, VLOOKUP((Y32/MAlength*150),WalkScore,2,TRUE)))))</f>
        <v/>
      </c>
      <c r="AB32" s="17"/>
    </row>
    <row r="33" spans="1:28" s="35" customFormat="1" x14ac:dyDescent="0.3">
      <c r="A33" s="17"/>
      <c r="B33" s="17"/>
      <c r="C33" s="17"/>
      <c r="D33" s="17"/>
      <c r="E33" s="17"/>
      <c r="F33" s="17"/>
      <c r="G33" s="17" t="str">
        <f t="shared" si="0"/>
        <v/>
      </c>
      <c r="H33" s="52" t="str">
        <f>IF(Interm[[#This Row],[RIDER]]="","",IF((COUNTIF(J33, "E")), "E", (SUM(J33+I33))))</f>
        <v/>
      </c>
      <c r="I33" s="52" t="str">
        <f>IF(Interm[[#This Row],[RIDER]]="","",SUM(X33,AA33))</f>
        <v/>
      </c>
      <c r="J33" s="42" t="str">
        <f>IF(Interm[[#This Row],[RIDER]]="","",IF(COUNTIF(K33:T33, "E"), "E",(SUM(K33:T33)-U33)))</f>
        <v/>
      </c>
      <c r="K33" s="17">
        <v>0</v>
      </c>
      <c r="L33" s="17">
        <v>0</v>
      </c>
      <c r="M33" s="17">
        <v>0</v>
      </c>
      <c r="N33" s="17">
        <v>0</v>
      </c>
      <c r="O33" s="17">
        <v>0</v>
      </c>
      <c r="P33" s="17">
        <v>0</v>
      </c>
      <c r="Q33" s="17">
        <v>0</v>
      </c>
      <c r="R33" s="17">
        <v>0</v>
      </c>
      <c r="S33" s="17">
        <v>0</v>
      </c>
      <c r="T33" s="17">
        <v>0</v>
      </c>
      <c r="U33" s="17">
        <v>0</v>
      </c>
      <c r="V33" s="17"/>
      <c r="W33" s="17"/>
      <c r="X33" s="18" t="str">
        <f>IF(C33="","",IF(OR(Interm[[#This Row],[Outside/Broke (O/B)]]="O",Interm[[#This Row],[Outside/Broke (O/B)]]="B"),0,VLOOKUP((V33/MAlength*150),CanterScore,2,TRUE)))</f>
        <v/>
      </c>
      <c r="Y33" s="17"/>
      <c r="Z33" s="17"/>
      <c r="AA33" s="18" t="str">
        <f>IF(C33="","",IF(OR(Interm[[#This Row],[Outside/Broke (O/B)2]]="O",Interm[[#This Row],[Outside/Broke (O/B)2]]="B"),0,IF((Y33/MAlength*150)=0, 0,IF((Y33/MAlength*150)&lt;'MA calc'!$A$4, 15, VLOOKUP((Y33/MAlength*150),WalkScore,2,TRUE)))))</f>
        <v/>
      </c>
      <c r="AB33" s="17"/>
    </row>
    <row r="34" spans="1:28" s="35" customFormat="1" x14ac:dyDescent="0.3">
      <c r="A34" s="17"/>
      <c r="B34" s="17"/>
      <c r="C34" s="17"/>
      <c r="D34" s="17"/>
      <c r="E34" s="17"/>
      <c r="F34" s="17"/>
      <c r="G34" s="17" t="str">
        <f t="shared" si="0"/>
        <v/>
      </c>
      <c r="H34" s="52" t="str">
        <f>IF(Interm[[#This Row],[RIDER]]="","",IF((COUNTIF(J34, "E")), "E", (SUM(J34+I34))))</f>
        <v/>
      </c>
      <c r="I34" s="52" t="str">
        <f>IF(Interm[[#This Row],[RIDER]]="","",SUM(X34,AA34))</f>
        <v/>
      </c>
      <c r="J34" s="42" t="str">
        <f>IF(Interm[[#This Row],[RIDER]]="","",IF(COUNTIF(K34:T34, "E"), "E",(SUM(K34:T34)-U34)))</f>
        <v/>
      </c>
      <c r="K34" s="17">
        <v>0</v>
      </c>
      <c r="L34" s="17">
        <v>0</v>
      </c>
      <c r="M34" s="17">
        <v>0</v>
      </c>
      <c r="N34" s="17">
        <v>0</v>
      </c>
      <c r="O34" s="17">
        <v>0</v>
      </c>
      <c r="P34" s="17">
        <v>0</v>
      </c>
      <c r="Q34" s="17">
        <v>0</v>
      </c>
      <c r="R34" s="17">
        <v>0</v>
      </c>
      <c r="S34" s="17">
        <v>0</v>
      </c>
      <c r="T34" s="17">
        <v>0</v>
      </c>
      <c r="U34" s="17">
        <v>0</v>
      </c>
      <c r="V34" s="17"/>
      <c r="W34" s="17"/>
      <c r="X34" s="18" t="str">
        <f>IF(C34="","",IF(OR(Interm[[#This Row],[Outside/Broke (O/B)]]="O",Interm[[#This Row],[Outside/Broke (O/B)]]="B"),0,VLOOKUP((V34/MAlength*150),CanterScore,2,TRUE)))</f>
        <v/>
      </c>
      <c r="Y34" s="17"/>
      <c r="Z34" s="17"/>
      <c r="AA34" s="18" t="str">
        <f>IF(C34="","",IF(OR(Interm[[#This Row],[Outside/Broke (O/B)2]]="O",Interm[[#This Row],[Outside/Broke (O/B)2]]="B"),0,IF((Y34/MAlength*150)=0, 0,IF((Y34/MAlength*150)&lt;'MA calc'!$A$4, 15, VLOOKUP((Y34/MAlength*150),WalkScore,2,TRUE)))))</f>
        <v/>
      </c>
      <c r="AB34" s="17"/>
    </row>
    <row r="35" spans="1:28" s="35" customFormat="1" x14ac:dyDescent="0.3">
      <c r="A35" s="17"/>
      <c r="B35" s="17"/>
      <c r="C35" s="17"/>
      <c r="D35" s="17"/>
      <c r="E35" s="17"/>
      <c r="F35" s="17"/>
      <c r="G35" s="17" t="str">
        <f t="shared" si="0"/>
        <v/>
      </c>
      <c r="H35" s="52" t="str">
        <f>IF(Interm[[#This Row],[RIDER]]="","",IF((COUNTIF(J35, "E")), "E", (SUM(J35+I35))))</f>
        <v/>
      </c>
      <c r="I35" s="52" t="str">
        <f>IF(Interm[[#This Row],[RIDER]]="","",SUM(X35,AA35))</f>
        <v/>
      </c>
      <c r="J35" s="42" t="str">
        <f>IF(Interm[[#This Row],[RIDER]]="","",IF(COUNTIF(K35:T35, "E"), "E",(SUM(K35:T35)-U35)))</f>
        <v/>
      </c>
      <c r="K35" s="17">
        <v>0</v>
      </c>
      <c r="L35" s="17">
        <v>0</v>
      </c>
      <c r="M35" s="17">
        <v>0</v>
      </c>
      <c r="N35" s="17">
        <v>0</v>
      </c>
      <c r="O35" s="17">
        <v>0</v>
      </c>
      <c r="P35" s="17">
        <v>0</v>
      </c>
      <c r="Q35" s="17">
        <v>0</v>
      </c>
      <c r="R35" s="17">
        <v>0</v>
      </c>
      <c r="S35" s="17">
        <v>0</v>
      </c>
      <c r="T35" s="17">
        <v>0</v>
      </c>
      <c r="U35" s="17">
        <v>0</v>
      </c>
      <c r="V35" s="17"/>
      <c r="W35" s="17"/>
      <c r="X35" s="18" t="str">
        <f>IF(C35="","",IF(OR(Interm[[#This Row],[Outside/Broke (O/B)]]="O",Interm[[#This Row],[Outside/Broke (O/B)]]="B"),0,VLOOKUP((V35/MAlength*150),CanterScore,2,TRUE)))</f>
        <v/>
      </c>
      <c r="Y35" s="17"/>
      <c r="Z35" s="17"/>
      <c r="AA35" s="18" t="str">
        <f>IF(C35="","",IF(OR(Interm[[#This Row],[Outside/Broke (O/B)2]]="O",Interm[[#This Row],[Outside/Broke (O/B)2]]="B"),0,IF((Y35/MAlength*150)=0, 0,IF((Y35/MAlength*150)&lt;'MA calc'!$A$4, 15, VLOOKUP((Y35/MAlength*150),WalkScore,2,TRUE)))))</f>
        <v/>
      </c>
      <c r="AB35" s="17"/>
    </row>
  </sheetData>
  <mergeCells count="5">
    <mergeCell ref="D6:E6"/>
    <mergeCell ref="H6:I6"/>
    <mergeCell ref="K6:L6"/>
    <mergeCell ref="M6:T6"/>
    <mergeCell ref="D7:E7"/>
  </mergeCells>
  <phoneticPr fontId="26" type="noConversion"/>
  <conditionalFormatting sqref="K11:U35">
    <cfRule type="cellIs" dxfId="7" priority="1" operator="greaterThan">
      <formula>10</formula>
    </cfRule>
  </conditionalFormatting>
  <dataValidations count="3">
    <dataValidation type="list" allowBlank="1" showDropDown="1" showErrorMessage="1" errorTitle="Invalid entry" error="Please enter O or B only" sqref="W11:W35 Z11:Z35" xr:uid="{2E5C277A-9237-4144-ADD4-235510A84695}">
      <formula1>"B,O"</formula1>
    </dataValidation>
    <dataValidation type="list" allowBlank="1" showDropDown="1" showErrorMessage="1" errorTitle="Invalid entry" error="Please enter Y or N only" sqref="E11:E35" xr:uid="{450AC9E0-7B1A-4767-8BBA-CA2D21EEB7FF}">
      <formula1>"N,Y"</formula1>
    </dataValidation>
    <dataValidation type="list" operator="lessThanOrEqual" allowBlank="1" showDropDown="1" showInputMessage="1" showErrorMessage="1" errorTitle="Invalid entry" error="The maximum score for each obstacle is 10. _x000a_Please enter a number between -5 and 10, or an E." sqref="K11:U35" xr:uid="{0B00D82D-BB21-48AB-A82B-EDF59115C3CC}">
      <formula1>"0,1,2,3,4,5,6,7,8,9,10,E,-1,-2,-3,-4,-5"</formula1>
    </dataValidation>
  </dataValidations>
  <printOptions horizontalCentered="1" verticalCentered="1"/>
  <pageMargins left="0.23622047244094491" right="0.23622047244094491" top="0.74803149606299213" bottom="0.74803149606299213" header="0.31496062992125984" footer="0.31496062992125984"/>
  <pageSetup paperSize="9" scale="53" orientation="landscape" r:id="rId1"/>
  <drawing r:id="rId2"/>
  <tableParts count="1">
    <tablePart r:id="rId3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B5293F-FE51-4FF8-9526-06E4A09F2D9A}">
  <sheetPr>
    <pageSetUpPr fitToPage="1"/>
  </sheetPr>
  <dimension ref="A1:AB35"/>
  <sheetViews>
    <sheetView topLeftCell="C8" zoomScale="75" zoomScaleNormal="75" workbookViewId="0">
      <selection activeCell="G16" sqref="G16"/>
    </sheetView>
  </sheetViews>
  <sheetFormatPr defaultColWidth="8.69921875" defaultRowHeight="14.4" x14ac:dyDescent="0.3"/>
  <cols>
    <col min="1" max="1" width="17.19921875" style="14" bestFit="1" customWidth="1"/>
    <col min="2" max="2" width="14.3984375" style="14" bestFit="1" customWidth="1"/>
    <col min="3" max="3" width="15.69921875" style="14" bestFit="1" customWidth="1"/>
    <col min="4" max="4" width="19.19921875" style="14" bestFit="1" customWidth="1"/>
    <col min="5" max="5" width="12.8984375" style="14" customWidth="1"/>
    <col min="6" max="6" width="21.19921875" style="14" customWidth="1"/>
    <col min="7" max="7" width="17.19921875" style="14" bestFit="1" customWidth="1"/>
    <col min="8" max="8" width="11.3984375" style="1" customWidth="1"/>
    <col min="9" max="9" width="10.5" style="1" customWidth="1"/>
    <col min="10" max="10" width="12.5" style="14" bestFit="1" customWidth="1"/>
    <col min="11" max="11" width="8.69921875" style="14" customWidth="1"/>
    <col min="12" max="12" width="8.5" style="14" customWidth="1"/>
    <col min="13" max="15" width="6.69921875" style="14" customWidth="1"/>
    <col min="16" max="16" width="7.19921875" style="14" customWidth="1"/>
    <col min="17" max="21" width="6.69921875" style="14" customWidth="1"/>
    <col min="22" max="23" width="9" style="14" customWidth="1"/>
    <col min="24" max="24" width="6.69921875" style="1" customWidth="1"/>
    <col min="25" max="25" width="9" style="14" customWidth="1"/>
    <col min="26" max="27" width="6.69921875" style="1" customWidth="1"/>
    <col min="28" max="28" width="4.5" style="14" hidden="1" customWidth="1"/>
    <col min="29" max="29" width="23.09765625" style="14" customWidth="1"/>
    <col min="30" max="30" width="3.3984375" style="14" customWidth="1"/>
    <col min="31" max="31" width="2.59765625" style="14" customWidth="1"/>
    <col min="32" max="32" width="2.5" style="14" customWidth="1"/>
    <col min="33" max="33" width="8.69921875" style="14"/>
    <col min="34" max="34" width="8.69921875" style="14" customWidth="1"/>
    <col min="35" max="16384" width="8.69921875" style="14"/>
  </cols>
  <sheetData>
    <row r="1" spans="1:28" ht="3" customHeight="1" x14ac:dyDescent="0.3"/>
    <row r="2" spans="1:28" ht="23.4" customHeight="1" x14ac:dyDescent="0.45">
      <c r="A2" s="23"/>
      <c r="B2" s="23"/>
      <c r="F2" s="7" t="s">
        <v>14</v>
      </c>
      <c r="T2" s="1"/>
      <c r="U2" s="1"/>
    </row>
    <row r="3" spans="1:28" ht="14.55" customHeight="1" x14ac:dyDescent="0.3">
      <c r="A3" s="23"/>
      <c r="B3" s="23"/>
      <c r="I3" s="2"/>
      <c r="W3" s="1"/>
      <c r="Y3" s="1"/>
    </row>
    <row r="4" spans="1:28" ht="15.6" x14ac:dyDescent="0.3">
      <c r="A4" s="23"/>
      <c r="B4" s="23"/>
      <c r="F4" s="3"/>
      <c r="I4" s="2"/>
      <c r="M4" s="3"/>
      <c r="Y4" s="1"/>
    </row>
    <row r="5" spans="1:28" ht="14.55" customHeight="1" x14ac:dyDescent="0.3">
      <c r="A5" s="23"/>
      <c r="B5" s="23"/>
      <c r="L5" s="32"/>
      <c r="M5" s="33"/>
      <c r="N5" s="33"/>
      <c r="Y5" s="1"/>
    </row>
    <row r="6" spans="1:28" s="4" customFormat="1" ht="21" x14ac:dyDescent="0.4">
      <c r="A6" s="23"/>
      <c r="B6" s="23"/>
      <c r="C6" s="15" t="s">
        <v>8</v>
      </c>
      <c r="D6" s="63" t="str">
        <f>'Print All Summary'!B6</f>
        <v>Avon Riding Centre</v>
      </c>
      <c r="E6" s="63"/>
      <c r="F6" s="14"/>
      <c r="G6" s="22" t="s">
        <v>9</v>
      </c>
      <c r="H6" s="65">
        <f>'Print All Summary'!F6</f>
        <v>46068</v>
      </c>
      <c r="I6" s="65"/>
      <c r="J6" s="14"/>
      <c r="K6" s="66" t="s">
        <v>15</v>
      </c>
      <c r="L6" s="66"/>
      <c r="M6" s="63" t="str">
        <f>'Print All Summary'!B7</f>
        <v>Wessex TREC</v>
      </c>
      <c r="N6" s="63"/>
      <c r="O6" s="63"/>
      <c r="P6" s="63"/>
      <c r="Q6" s="63"/>
      <c r="R6" s="63"/>
      <c r="S6" s="63"/>
      <c r="T6" s="63"/>
      <c r="U6" s="14"/>
      <c r="X6" s="1"/>
      <c r="Y6" s="1"/>
      <c r="Z6" s="1"/>
      <c r="AA6" s="1"/>
    </row>
    <row r="7" spans="1:28" s="4" customFormat="1" ht="30" customHeight="1" x14ac:dyDescent="0.4">
      <c r="A7" s="23"/>
      <c r="B7" s="23"/>
      <c r="C7" s="15" t="s">
        <v>16</v>
      </c>
      <c r="D7" s="64" t="s">
        <v>47</v>
      </c>
      <c r="E7" s="64"/>
      <c r="F7" s="14"/>
      <c r="H7" s="5"/>
      <c r="I7" s="5"/>
      <c r="J7" s="14"/>
      <c r="U7" s="14"/>
      <c r="X7" s="1"/>
      <c r="Y7" s="1"/>
      <c r="Z7" s="1"/>
      <c r="AA7" s="1"/>
    </row>
    <row r="8" spans="1:28" s="4" customFormat="1" ht="21" x14ac:dyDescent="0.4">
      <c r="A8" s="23"/>
      <c r="B8" s="23"/>
      <c r="C8" s="15"/>
      <c r="D8" s="15"/>
      <c r="E8" s="15"/>
      <c r="H8" s="5"/>
      <c r="I8" s="5"/>
      <c r="X8" s="5"/>
      <c r="Z8" s="5"/>
      <c r="AA8" s="5"/>
    </row>
    <row r="9" spans="1:28" ht="15.6" x14ac:dyDescent="0.3">
      <c r="F9" s="16"/>
      <c r="K9" s="16"/>
      <c r="L9" s="16"/>
      <c r="M9" s="16"/>
      <c r="N9" s="16"/>
      <c r="O9" s="16"/>
      <c r="P9" s="16"/>
      <c r="Q9" s="16"/>
    </row>
    <row r="10" spans="1:28" s="34" customFormat="1" ht="122.55" customHeight="1" x14ac:dyDescent="0.25">
      <c r="A10" s="28" t="s">
        <v>18</v>
      </c>
      <c r="B10" s="29" t="s">
        <v>19</v>
      </c>
      <c r="C10" s="19" t="s">
        <v>20</v>
      </c>
      <c r="D10" s="20" t="s">
        <v>21</v>
      </c>
      <c r="E10" s="20" t="s">
        <v>22</v>
      </c>
      <c r="F10" s="20" t="s">
        <v>23</v>
      </c>
      <c r="G10" s="21" t="s">
        <v>24</v>
      </c>
      <c r="H10" s="21" t="s">
        <v>25</v>
      </c>
      <c r="I10" s="21" t="s">
        <v>26</v>
      </c>
      <c r="J10" s="27" t="s">
        <v>45</v>
      </c>
      <c r="K10" s="26" t="s">
        <v>28</v>
      </c>
      <c r="L10" s="26" t="s">
        <v>29</v>
      </c>
      <c r="M10" s="26" t="s">
        <v>30</v>
      </c>
      <c r="N10" s="26" t="s">
        <v>31</v>
      </c>
      <c r="O10" s="26" t="s">
        <v>32</v>
      </c>
      <c r="P10" s="26" t="s">
        <v>33</v>
      </c>
      <c r="Q10" s="26" t="s">
        <v>34</v>
      </c>
      <c r="R10" s="26" t="s">
        <v>35</v>
      </c>
      <c r="S10" s="26" t="s">
        <v>36</v>
      </c>
      <c r="T10" s="26" t="s">
        <v>37</v>
      </c>
      <c r="U10" s="30" t="s">
        <v>56</v>
      </c>
      <c r="V10" s="24" t="s">
        <v>38</v>
      </c>
      <c r="W10" s="24" t="s">
        <v>39</v>
      </c>
      <c r="X10" s="25" t="s">
        <v>40</v>
      </c>
      <c r="Y10" s="24" t="s">
        <v>41</v>
      </c>
      <c r="Z10" s="24" t="s">
        <v>42</v>
      </c>
      <c r="AA10" s="25" t="s">
        <v>43</v>
      </c>
      <c r="AB10" s="39" t="s">
        <v>13</v>
      </c>
    </row>
    <row r="11" spans="1:28" s="35" customFormat="1" x14ac:dyDescent="0.3">
      <c r="A11" s="17"/>
      <c r="B11" s="17"/>
      <c r="C11" s="17" t="s">
        <v>83</v>
      </c>
      <c r="D11" s="17" t="s">
        <v>82</v>
      </c>
      <c r="E11" s="17"/>
      <c r="F11" s="17" t="s">
        <v>81</v>
      </c>
      <c r="G11" s="17">
        <f>IF(H11="E","E",(IF(C11="","",_xlfn.RANK.EQ($H11,$H$11:$H$35)+COUNTIFS($H$11:$H$35,$H11,$J$11:$J$35,"&gt;"&amp;$J11))))</f>
        <v>1</v>
      </c>
      <c r="H11" s="52">
        <f>IF(Novice[[#This Row],[RIDER]]="","",IF((COUNTIF(J11, "E")), "E", (SUM(J11+I11))))</f>
        <v>110</v>
      </c>
      <c r="I11" s="52">
        <f>IF(Novice[[#This Row],[RIDER]]="","",SUM(X11,AA11))</f>
        <v>15</v>
      </c>
      <c r="J11" s="42">
        <f>IF(Novice[[#This Row],[RIDER]]="","",IF(COUNTIF(K11:T11, "E"), "E", (SUM(K11:T11)-U11)))</f>
        <v>95</v>
      </c>
      <c r="K11" s="17">
        <v>10</v>
      </c>
      <c r="L11" s="17">
        <v>10</v>
      </c>
      <c r="M11" s="17">
        <v>10</v>
      </c>
      <c r="N11" s="17">
        <v>10</v>
      </c>
      <c r="O11" s="17">
        <v>10</v>
      </c>
      <c r="P11" s="17">
        <v>10</v>
      </c>
      <c r="Q11" s="17">
        <v>9</v>
      </c>
      <c r="R11" s="17">
        <v>9</v>
      </c>
      <c r="S11" s="17">
        <v>8</v>
      </c>
      <c r="T11" s="17">
        <v>9</v>
      </c>
      <c r="U11" s="17">
        <v>0</v>
      </c>
      <c r="V11" s="17">
        <v>17.5</v>
      </c>
      <c r="W11" s="17"/>
      <c r="X11" s="18">
        <f>IF(C11="","",IF(OR(Novice[[#This Row],[Outside/Broke (O/B)]]="O",Novice[[#This Row],[Outside/Broke (O/B)]]="B"),0,VLOOKUP((V11/MAlength*150),CanterScore,2,TRUE)))</f>
        <v>15</v>
      </c>
      <c r="Y11" s="17">
        <v>62.4</v>
      </c>
      <c r="Z11" s="17"/>
      <c r="AA11" s="18">
        <f>IF(C11="","",IF(OR(Novice[[#This Row],[Outside/Broke (O/B)2]]="O",Novice[[#This Row],[Outside/Broke (O/B)2]]="B"),0,IF((Y11/MAlength*150)=0, 0,IF((Y11/MAlength*150)&lt;'MA calc'!$A$4, 15, VLOOKUP((Y11/MAlength*150),WalkScore,2,TRUE)))))</f>
        <v>0</v>
      </c>
      <c r="AB11" s="17"/>
    </row>
    <row r="12" spans="1:28" s="35" customFormat="1" x14ac:dyDescent="0.3">
      <c r="A12" s="17"/>
      <c r="B12" s="17"/>
      <c r="C12" s="17" t="s">
        <v>62</v>
      </c>
      <c r="D12" s="17" t="s">
        <v>63</v>
      </c>
      <c r="E12" s="17"/>
      <c r="F12" s="17" t="s">
        <v>64</v>
      </c>
      <c r="G12" s="17">
        <f t="shared" ref="G12:G35" si="0">IF(H12="E","E",(IF(C12="","",_xlfn.RANK.EQ($H12,$H$11:$H$35)+COUNTIFS($H$11:$H$35,$H12,$J$11:$J$35,"&gt;"&amp;$J12))))</f>
        <v>6</v>
      </c>
      <c r="H12" s="52">
        <f>IF(Novice[[#This Row],[RIDER]]="","",IF((COUNTIF(J12, "E")), "E", (SUM(J12+I12))))</f>
        <v>0</v>
      </c>
      <c r="I12" s="52">
        <f>IF(Novice[[#This Row],[RIDER]]="","",SUM(X12,AA12))</f>
        <v>0</v>
      </c>
      <c r="J12" s="42">
        <f>IF(Novice[[#This Row],[RIDER]]="","",IF(COUNTIF(K12:T12, "E"), "E", (SUM(K12:T12)-U12)))</f>
        <v>0</v>
      </c>
      <c r="K12" s="17">
        <v>0</v>
      </c>
      <c r="L12" s="17">
        <v>0</v>
      </c>
      <c r="M12" s="17">
        <v>0</v>
      </c>
      <c r="N12" s="17">
        <v>0</v>
      </c>
      <c r="O12" s="17">
        <v>0</v>
      </c>
      <c r="P12" s="17">
        <v>0</v>
      </c>
      <c r="Q12" s="17">
        <v>0</v>
      </c>
      <c r="R12" s="17">
        <v>0</v>
      </c>
      <c r="S12" s="17">
        <v>0</v>
      </c>
      <c r="T12" s="17">
        <v>0</v>
      </c>
      <c r="U12" s="17">
        <v>0</v>
      </c>
      <c r="V12" s="17"/>
      <c r="W12" s="17"/>
      <c r="X12" s="18">
        <f>IF(C12="","",IF(OR(Novice[[#This Row],[Outside/Broke (O/B)]]="O",Novice[[#This Row],[Outside/Broke (O/B)]]="B"),0,VLOOKUP((V12/MAlength*150),CanterScore,2,TRUE)))</f>
        <v>0</v>
      </c>
      <c r="Y12" s="17"/>
      <c r="Z12" s="17"/>
      <c r="AA12" s="18">
        <f>IF(C12="","",IF(OR(Novice[[#This Row],[Outside/Broke (O/B)2]]="O",Novice[[#This Row],[Outside/Broke (O/B)2]]="B"),0,IF((Y12/MAlength*150)=0, 0,IF((Y12/MAlength*150)&lt;'MA calc'!$A$4, 15, VLOOKUP((Y12/MAlength*150),WalkScore,2,TRUE)))))</f>
        <v>0</v>
      </c>
      <c r="AB12" s="17"/>
    </row>
    <row r="13" spans="1:28" s="35" customFormat="1" x14ac:dyDescent="0.3">
      <c r="A13" s="17"/>
      <c r="B13" s="17"/>
      <c r="C13" s="17" t="s">
        <v>88</v>
      </c>
      <c r="D13" s="17" t="s">
        <v>90</v>
      </c>
      <c r="E13" s="17"/>
      <c r="F13" s="17" t="s">
        <v>89</v>
      </c>
      <c r="G13" s="17">
        <f t="shared" si="0"/>
        <v>4</v>
      </c>
      <c r="H13" s="52">
        <f>IF(Novice[[#This Row],[RIDER]]="","",IF((COUNTIF(J13, "E")), "E", (SUM(J13+I13))))</f>
        <v>88</v>
      </c>
      <c r="I13" s="52">
        <f>IF(Novice[[#This Row],[RIDER]]="","",SUM(X13,AA13))</f>
        <v>0</v>
      </c>
      <c r="J13" s="42">
        <f>IF(Novice[[#This Row],[RIDER]]="","",IF(COUNTIF(K13:T13, "E"), "E", (SUM(K13:T13)-U13)))</f>
        <v>88</v>
      </c>
      <c r="K13" s="17">
        <v>7</v>
      </c>
      <c r="L13" s="17">
        <v>8</v>
      </c>
      <c r="M13" s="17">
        <v>10</v>
      </c>
      <c r="N13" s="17">
        <v>10</v>
      </c>
      <c r="O13" s="17">
        <v>9</v>
      </c>
      <c r="P13" s="17">
        <v>9</v>
      </c>
      <c r="Q13" s="17">
        <v>9</v>
      </c>
      <c r="R13" s="17">
        <v>9</v>
      </c>
      <c r="S13" s="17">
        <v>7</v>
      </c>
      <c r="T13" s="17">
        <v>10</v>
      </c>
      <c r="U13" s="17">
        <v>0</v>
      </c>
      <c r="V13" s="17">
        <v>17.399999999999999</v>
      </c>
      <c r="W13" s="17" t="s">
        <v>122</v>
      </c>
      <c r="X13" s="18">
        <f>IF(C13="","",IF(OR(Novice[[#This Row],[Outside/Broke (O/B)]]="O",Novice[[#This Row],[Outside/Broke (O/B)]]="B"),0,VLOOKUP((V13/MAlength*150),CanterScore,2,TRUE)))</f>
        <v>0</v>
      </c>
      <c r="Y13" s="17">
        <v>50.1</v>
      </c>
      <c r="Z13" s="17"/>
      <c r="AA13" s="18">
        <f>IF(C13="","",IF(OR(Novice[[#This Row],[Outside/Broke (O/B)2]]="O",Novice[[#This Row],[Outside/Broke (O/B)2]]="B"),0,IF((Y13/MAlength*150)=0, 0,IF((Y13/MAlength*150)&lt;'MA calc'!$A$4, 15, VLOOKUP((Y13/MAlength*150),WalkScore,2,TRUE)))))</f>
        <v>0</v>
      </c>
      <c r="AB13" s="17"/>
    </row>
    <row r="14" spans="1:28" s="35" customFormat="1" x14ac:dyDescent="0.3">
      <c r="A14" s="17"/>
      <c r="B14" s="17"/>
      <c r="C14" s="17" t="s">
        <v>67</v>
      </c>
      <c r="D14" s="17" t="s">
        <v>68</v>
      </c>
      <c r="E14" s="17"/>
      <c r="F14" s="17" t="s">
        <v>69</v>
      </c>
      <c r="G14" s="17">
        <f t="shared" si="0"/>
        <v>6</v>
      </c>
      <c r="H14" s="52">
        <f>IF(Novice[[#This Row],[RIDER]]="","",IF((COUNTIF(J14, "E")), "E", (SUM(J14+I14))))</f>
        <v>0</v>
      </c>
      <c r="I14" s="52">
        <f>IF(Novice[[#This Row],[RIDER]]="","",SUM(X14,AA14))</f>
        <v>0</v>
      </c>
      <c r="J14" s="42">
        <f>IF(Novice[[#This Row],[RIDER]]="","",IF(COUNTIF(K14:T14, "E"), "E", (SUM(K14:T14)-U14)))</f>
        <v>0</v>
      </c>
      <c r="K14" s="17"/>
      <c r="L14" s="17">
        <v>0</v>
      </c>
      <c r="M14" s="17">
        <v>0</v>
      </c>
      <c r="N14" s="17">
        <v>0</v>
      </c>
      <c r="O14" s="17">
        <v>0</v>
      </c>
      <c r="P14" s="17">
        <v>0</v>
      </c>
      <c r="Q14" s="17">
        <v>0</v>
      </c>
      <c r="R14" s="17">
        <v>0</v>
      </c>
      <c r="S14" s="17">
        <v>0</v>
      </c>
      <c r="T14" s="17">
        <v>0</v>
      </c>
      <c r="U14" s="17">
        <v>0</v>
      </c>
      <c r="V14" s="17"/>
      <c r="W14" s="17"/>
      <c r="X14" s="18">
        <f>IF(C14="","",IF(OR(Novice[[#This Row],[Outside/Broke (O/B)]]="O",Novice[[#This Row],[Outside/Broke (O/B)]]="B"),0,VLOOKUP((V14/MAlength*150),CanterScore,2,TRUE)))</f>
        <v>0</v>
      </c>
      <c r="Y14" s="17"/>
      <c r="Z14" s="17"/>
      <c r="AA14" s="18">
        <f>IF(C14="","",IF(OR(Novice[[#This Row],[Outside/Broke (O/B)2]]="O",Novice[[#This Row],[Outside/Broke (O/B)2]]="B"),0,IF((Y14/MAlength*150)=0, 0,IF((Y14/MAlength*150)&lt;'MA calc'!$A$4, 15, VLOOKUP((Y14/MAlength*150),WalkScore,2,TRUE)))))</f>
        <v>0</v>
      </c>
      <c r="AB14" s="17"/>
    </row>
    <row r="15" spans="1:28" s="35" customFormat="1" x14ac:dyDescent="0.3">
      <c r="A15" s="17"/>
      <c r="B15" s="17"/>
      <c r="C15" s="17" t="s">
        <v>70</v>
      </c>
      <c r="D15" s="17" t="s">
        <v>71</v>
      </c>
      <c r="E15" s="17"/>
      <c r="F15" s="17" t="s">
        <v>72</v>
      </c>
      <c r="G15" s="17">
        <f t="shared" si="0"/>
        <v>6</v>
      </c>
      <c r="H15" s="52">
        <f>IF(Novice[[#This Row],[RIDER]]="","",IF((COUNTIF(J15, "E")), "E", (SUM(J15+I15))))</f>
        <v>0</v>
      </c>
      <c r="I15" s="52">
        <f>IF(Novice[[#This Row],[RIDER]]="","",SUM(X15,AA15))</f>
        <v>0</v>
      </c>
      <c r="J15" s="42">
        <f>IF(Novice[[#This Row],[RIDER]]="","",IF(COUNTIF(K15:T15, "E"), "E", (SUM(K15:T15)-U15)))</f>
        <v>0</v>
      </c>
      <c r="K15" s="17">
        <v>0</v>
      </c>
      <c r="L15" s="17">
        <v>0</v>
      </c>
      <c r="M15" s="17">
        <v>0</v>
      </c>
      <c r="N15" s="17">
        <v>0</v>
      </c>
      <c r="O15" s="17">
        <v>0</v>
      </c>
      <c r="P15" s="17">
        <v>0</v>
      </c>
      <c r="Q15" s="17">
        <v>0</v>
      </c>
      <c r="R15" s="17">
        <v>0</v>
      </c>
      <c r="S15" s="17">
        <v>0</v>
      </c>
      <c r="T15" s="17">
        <v>0</v>
      </c>
      <c r="U15" s="17">
        <v>0</v>
      </c>
      <c r="V15" s="17"/>
      <c r="W15" s="17"/>
      <c r="X15" s="18">
        <f>IF(C15="","",IF(OR(Novice[[#This Row],[Outside/Broke (O/B)]]="O",Novice[[#This Row],[Outside/Broke (O/B)]]="B"),0,VLOOKUP((V15/MAlength*150),CanterScore,2,TRUE)))</f>
        <v>0</v>
      </c>
      <c r="Y15" s="17"/>
      <c r="Z15" s="17"/>
      <c r="AA15" s="18">
        <f>IF(C15="","",IF(OR(Novice[[#This Row],[Outside/Broke (O/B)2]]="O",Novice[[#This Row],[Outside/Broke (O/B)2]]="B"),0,IF((Y15/MAlength*150)=0, 0,IF((Y15/MAlength*150)&lt;'MA calc'!$A$4, 15, VLOOKUP((Y15/MAlength*150),WalkScore,2,TRUE)))))</f>
        <v>0</v>
      </c>
      <c r="AB15" s="17"/>
    </row>
    <row r="16" spans="1:28" s="35" customFormat="1" x14ac:dyDescent="0.3">
      <c r="A16" s="17"/>
      <c r="B16" s="17"/>
      <c r="C16" s="17" t="s">
        <v>91</v>
      </c>
      <c r="D16" s="17" t="s">
        <v>92</v>
      </c>
      <c r="E16" s="17"/>
      <c r="F16" s="17" t="s">
        <v>93</v>
      </c>
      <c r="G16" s="17">
        <f t="shared" si="0"/>
        <v>3</v>
      </c>
      <c r="H16" s="52">
        <f>IF(Novice[[#This Row],[RIDER]]="","",IF((COUNTIF(J16, "E")), "E", (SUM(J16+I16))))</f>
        <v>99.5</v>
      </c>
      <c r="I16" s="52">
        <f>IF(Novice[[#This Row],[RIDER]]="","",SUM(X16,AA16))</f>
        <v>6.5</v>
      </c>
      <c r="J16" s="42">
        <f>IF(Novice[[#This Row],[RIDER]]="","",IF(COUNTIF(K16:T16, "E"), "E", (SUM(K16:T16)-U16)))</f>
        <v>93</v>
      </c>
      <c r="K16" s="17">
        <v>7</v>
      </c>
      <c r="L16" s="17">
        <v>9</v>
      </c>
      <c r="M16" s="17">
        <v>10</v>
      </c>
      <c r="N16" s="17">
        <v>10</v>
      </c>
      <c r="O16" s="17">
        <v>10</v>
      </c>
      <c r="P16" s="17">
        <v>8</v>
      </c>
      <c r="Q16" s="17">
        <v>10</v>
      </c>
      <c r="R16" s="17">
        <v>10</v>
      </c>
      <c r="S16" s="17">
        <v>10</v>
      </c>
      <c r="T16" s="17">
        <v>9</v>
      </c>
      <c r="U16" s="17">
        <v>0</v>
      </c>
      <c r="V16" s="17">
        <v>19.899999999999999</v>
      </c>
      <c r="W16" s="17" t="s">
        <v>122</v>
      </c>
      <c r="X16" s="18">
        <f>IF(C16="","",IF(OR(Novice[[#This Row],[Outside/Broke (O/B)]]="O",Novice[[#This Row],[Outside/Broke (O/B)]]="B"),0,VLOOKUP((V16/MAlength*150),CanterScore,2,TRUE)))</f>
        <v>0</v>
      </c>
      <c r="Y16" s="17">
        <v>42.3</v>
      </c>
      <c r="Z16" s="17"/>
      <c r="AA16" s="18">
        <f>IF(C16="","",IF(OR(Novice[[#This Row],[Outside/Broke (O/B)2]]="O",Novice[[#This Row],[Outside/Broke (O/B)2]]="B"),0,IF((Y16/MAlength*150)=0, 0,IF((Y16/MAlength*150)&lt;'MA calc'!$A$4, 15, VLOOKUP((Y16/MAlength*150),WalkScore,2,TRUE)))))</f>
        <v>6.5</v>
      </c>
      <c r="AB16" s="17"/>
    </row>
    <row r="17" spans="1:28" s="35" customFormat="1" x14ac:dyDescent="0.3">
      <c r="A17" s="17"/>
      <c r="B17" s="17"/>
      <c r="C17" s="17" t="s">
        <v>73</v>
      </c>
      <c r="D17" s="17" t="s">
        <v>74</v>
      </c>
      <c r="E17" s="17"/>
      <c r="F17" s="17" t="s">
        <v>75</v>
      </c>
      <c r="G17" s="17">
        <f t="shared" si="0"/>
        <v>2</v>
      </c>
      <c r="H17" s="52">
        <f>IF(Novice[[#This Row],[RIDER]]="","",IF((COUNTIF(J17, "E")), "E", (SUM(J17+I17))))</f>
        <v>100.5</v>
      </c>
      <c r="I17" s="52">
        <f>IF(Novice[[#This Row],[RIDER]]="","",SUM(X17,AA17))</f>
        <v>12.5</v>
      </c>
      <c r="J17" s="42">
        <f>IF(Novice[[#This Row],[RIDER]]="","",IF(COUNTIF(K17:T17, "E"), "E", (SUM(K17:T17)-U17)))</f>
        <v>88</v>
      </c>
      <c r="K17" s="17">
        <v>7</v>
      </c>
      <c r="L17" s="17">
        <v>9</v>
      </c>
      <c r="M17" s="17">
        <v>10</v>
      </c>
      <c r="N17" s="17">
        <v>9</v>
      </c>
      <c r="O17" s="17">
        <v>9</v>
      </c>
      <c r="P17" s="17">
        <v>7</v>
      </c>
      <c r="Q17" s="17">
        <v>10</v>
      </c>
      <c r="R17" s="17">
        <v>9</v>
      </c>
      <c r="S17" s="17">
        <v>8</v>
      </c>
      <c r="T17" s="17">
        <v>10</v>
      </c>
      <c r="U17" s="17">
        <v>0</v>
      </c>
      <c r="V17" s="17">
        <v>15.6</v>
      </c>
      <c r="W17" s="17"/>
      <c r="X17" s="18">
        <f>IF(C17="","",IF(OR(Novice[[#This Row],[Outside/Broke (O/B)]]="O",Novice[[#This Row],[Outside/Broke (O/B)]]="B"),0,VLOOKUP((V17/MAlength*150),CanterScore,2,TRUE)))</f>
        <v>6.5</v>
      </c>
      <c r="Y17" s="17">
        <v>42.7</v>
      </c>
      <c r="Z17" s="17"/>
      <c r="AA17" s="18">
        <f>IF(C17="","",IF(OR(Novice[[#This Row],[Outside/Broke (O/B)2]]="O",Novice[[#This Row],[Outside/Broke (O/B)2]]="B"),0,IF((Y17/MAlength*150)=0, 0,IF((Y17/MAlength*150)&lt;'MA calc'!$A$4, 15, VLOOKUP((Y17/MAlength*150),WalkScore,2,TRUE)))))</f>
        <v>6</v>
      </c>
      <c r="AB17" s="17"/>
    </row>
    <row r="18" spans="1:28" s="35" customFormat="1" x14ac:dyDescent="0.3">
      <c r="A18" s="17"/>
      <c r="B18" s="17"/>
      <c r="C18" s="17" t="s">
        <v>123</v>
      </c>
      <c r="D18" s="17"/>
      <c r="E18" s="17"/>
      <c r="F18" s="17" t="s">
        <v>80</v>
      </c>
      <c r="G18" s="17">
        <f t="shared" si="0"/>
        <v>5</v>
      </c>
      <c r="H18" s="52">
        <f>IF(Novice[[#This Row],[RIDER]]="","",IF((COUNTIF(J18, "E")), "E", (SUM(J18+I18))))</f>
        <v>87</v>
      </c>
      <c r="I18" s="52">
        <f>IF(Novice[[#This Row],[RIDER]]="","",SUM(X18,AA18))</f>
        <v>0</v>
      </c>
      <c r="J18" s="42">
        <f>IF(Novice[[#This Row],[RIDER]]="","",IF(COUNTIF(K18:T18, "E"), "E", (SUM(K18:T18)-U18)))</f>
        <v>87</v>
      </c>
      <c r="K18" s="17">
        <v>7</v>
      </c>
      <c r="L18" s="17">
        <v>9</v>
      </c>
      <c r="M18" s="17">
        <v>10</v>
      </c>
      <c r="N18" s="17">
        <v>10</v>
      </c>
      <c r="O18" s="17">
        <v>9</v>
      </c>
      <c r="P18" s="17">
        <v>10</v>
      </c>
      <c r="Q18" s="17">
        <v>8</v>
      </c>
      <c r="R18" s="17">
        <v>9</v>
      </c>
      <c r="S18" s="17">
        <v>10</v>
      </c>
      <c r="T18" s="17">
        <v>5</v>
      </c>
      <c r="U18" s="17">
        <v>0</v>
      </c>
      <c r="V18" s="17">
        <v>16.7</v>
      </c>
      <c r="W18" s="17" t="s">
        <v>122</v>
      </c>
      <c r="X18" s="18">
        <f>IF(C18="","",IF(OR(Novice[[#This Row],[Outside/Broke (O/B)]]="O",Novice[[#This Row],[Outside/Broke (O/B)]]="B"),0,VLOOKUP((V18/MAlength*150),CanterScore,2,TRUE)))</f>
        <v>0</v>
      </c>
      <c r="Y18" s="17">
        <v>49.2</v>
      </c>
      <c r="Z18" s="17"/>
      <c r="AA18" s="18">
        <f>IF(C18="","",IF(OR(Novice[[#This Row],[Outside/Broke (O/B)2]]="O",Novice[[#This Row],[Outside/Broke (O/B)2]]="B"),0,IF((Y18/MAlength*150)=0, 0,IF((Y18/MAlength*150)&lt;'MA calc'!$A$4, 15, VLOOKUP((Y18/MAlength*150),WalkScore,2,TRUE)))))</f>
        <v>0</v>
      </c>
      <c r="AB18" s="17"/>
    </row>
    <row r="19" spans="1:28" s="35" customFormat="1" x14ac:dyDescent="0.3">
      <c r="A19" s="17"/>
      <c r="B19" s="17"/>
      <c r="C19" s="17"/>
      <c r="D19" s="17"/>
      <c r="E19" s="17"/>
      <c r="F19" s="17"/>
      <c r="G19" s="17" t="str">
        <f t="shared" si="0"/>
        <v/>
      </c>
      <c r="H19" s="52" t="str">
        <f>IF(Novice[[#This Row],[RIDER]]="","",IF((COUNTIF(J19, "E")), "E", (SUM(J19+I19))))</f>
        <v/>
      </c>
      <c r="I19" s="52" t="str">
        <f>IF(Novice[[#This Row],[RIDER]]="","",SUM(X19,AA19))</f>
        <v/>
      </c>
      <c r="J19" s="42" t="str">
        <f>IF(Novice[[#This Row],[RIDER]]="","",IF(COUNTIF(K19:T19, "E"), "E", (SUM(K19:T19)-U19)))</f>
        <v/>
      </c>
      <c r="K19" s="17">
        <v>0</v>
      </c>
      <c r="L19" s="17">
        <v>0</v>
      </c>
      <c r="M19" s="17">
        <v>0</v>
      </c>
      <c r="N19" s="17">
        <v>0</v>
      </c>
      <c r="O19" s="17">
        <v>0</v>
      </c>
      <c r="P19" s="17">
        <v>0</v>
      </c>
      <c r="Q19" s="17">
        <v>0</v>
      </c>
      <c r="R19" s="17">
        <v>0</v>
      </c>
      <c r="S19" s="17">
        <v>0</v>
      </c>
      <c r="T19" s="17">
        <v>0</v>
      </c>
      <c r="U19" s="17">
        <v>0</v>
      </c>
      <c r="V19" s="17"/>
      <c r="W19" s="17"/>
      <c r="X19" s="18" t="str">
        <f>IF(C19="","",IF(OR(Novice[[#This Row],[Outside/Broke (O/B)]]="O",Novice[[#This Row],[Outside/Broke (O/B)]]="B"),0,VLOOKUP((V19/MAlength*150),CanterScore,2,TRUE)))</f>
        <v/>
      </c>
      <c r="Y19" s="17"/>
      <c r="Z19" s="17"/>
      <c r="AA19" s="18" t="str">
        <f>IF(C19="","",IF(OR(Novice[[#This Row],[Outside/Broke (O/B)2]]="O",Novice[[#This Row],[Outside/Broke (O/B)2]]="B"),0,IF((Y19/MAlength*150)=0, 0,IF((Y19/MAlength*150)&lt;'MA calc'!$A$4, 15, VLOOKUP((Y19/MAlength*150),WalkScore,2,TRUE)))))</f>
        <v/>
      </c>
      <c r="AB19" s="17"/>
    </row>
    <row r="20" spans="1:28" s="35" customFormat="1" x14ac:dyDescent="0.3">
      <c r="A20" s="17"/>
      <c r="B20" s="17"/>
      <c r="C20" s="17"/>
      <c r="D20" s="17"/>
      <c r="E20" s="17"/>
      <c r="F20" s="17"/>
      <c r="G20" s="17" t="str">
        <f t="shared" si="0"/>
        <v/>
      </c>
      <c r="H20" s="52" t="str">
        <f>IF(Novice[[#This Row],[RIDER]]="","",IF((COUNTIF(J20, "E")), "E", (SUM(J20+I20))))</f>
        <v/>
      </c>
      <c r="I20" s="52" t="str">
        <f>IF(Novice[[#This Row],[RIDER]]="","",SUM(X20,AA20))</f>
        <v/>
      </c>
      <c r="J20" s="42" t="str">
        <f>IF(Novice[[#This Row],[RIDER]]="","",IF(COUNTIF(K20:T20, "E"), "E", (SUM(K20:T20)-U20)))</f>
        <v/>
      </c>
      <c r="K20" s="17">
        <v>0</v>
      </c>
      <c r="L20" s="17">
        <v>0</v>
      </c>
      <c r="M20" s="17">
        <v>0</v>
      </c>
      <c r="N20" s="17">
        <v>0</v>
      </c>
      <c r="O20" s="17">
        <v>0</v>
      </c>
      <c r="P20" s="17">
        <v>0</v>
      </c>
      <c r="Q20" s="17">
        <v>0</v>
      </c>
      <c r="R20" s="17">
        <v>0</v>
      </c>
      <c r="S20" s="17">
        <v>0</v>
      </c>
      <c r="T20" s="17">
        <v>0</v>
      </c>
      <c r="U20" s="17">
        <v>0</v>
      </c>
      <c r="V20" s="17"/>
      <c r="W20" s="17"/>
      <c r="X20" s="18" t="str">
        <f>IF(C20="","",IF(OR(Novice[[#This Row],[Outside/Broke (O/B)]]="O",Novice[[#This Row],[Outside/Broke (O/B)]]="B"),0,VLOOKUP((V20/MAlength*150),CanterScore,2,TRUE)))</f>
        <v/>
      </c>
      <c r="Y20" s="17"/>
      <c r="Z20" s="17"/>
      <c r="AA20" s="18" t="str">
        <f>IF(C20="","",IF(OR(Novice[[#This Row],[Outside/Broke (O/B)2]]="O",Novice[[#This Row],[Outside/Broke (O/B)2]]="B"),0,IF((Y20/MAlength*150)=0, 0,IF((Y20/MAlength*150)&lt;'MA calc'!$A$4, 15, VLOOKUP((Y20/MAlength*150),WalkScore,2,TRUE)))))</f>
        <v/>
      </c>
      <c r="AB20" s="17"/>
    </row>
    <row r="21" spans="1:28" s="35" customFormat="1" x14ac:dyDescent="0.3">
      <c r="A21" s="17"/>
      <c r="B21" s="17"/>
      <c r="C21" s="17"/>
      <c r="D21" s="17"/>
      <c r="E21" s="17"/>
      <c r="F21" s="17"/>
      <c r="G21" s="17" t="str">
        <f t="shared" si="0"/>
        <v/>
      </c>
      <c r="H21" s="52" t="str">
        <f>IF(Novice[[#This Row],[RIDER]]="","",IF((COUNTIF(J21, "E")), "E", (SUM(J21+I21))))</f>
        <v/>
      </c>
      <c r="I21" s="52" t="str">
        <f>IF(Novice[[#This Row],[RIDER]]="","",SUM(X21,AA21))</f>
        <v/>
      </c>
      <c r="J21" s="42" t="str">
        <f>IF(Novice[[#This Row],[RIDER]]="","",IF(COUNTIF(K21:T21, "E"), "E", (SUM(K21:T21)-U21)))</f>
        <v/>
      </c>
      <c r="K21" s="17">
        <v>0</v>
      </c>
      <c r="L21" s="17">
        <v>0</v>
      </c>
      <c r="M21" s="17">
        <v>0</v>
      </c>
      <c r="N21" s="17">
        <v>0</v>
      </c>
      <c r="O21" s="17">
        <v>0</v>
      </c>
      <c r="P21" s="17">
        <v>0</v>
      </c>
      <c r="Q21" s="17">
        <v>0</v>
      </c>
      <c r="R21" s="17">
        <v>0</v>
      </c>
      <c r="S21" s="17">
        <v>0</v>
      </c>
      <c r="T21" s="17">
        <v>0</v>
      </c>
      <c r="U21" s="17">
        <v>0</v>
      </c>
      <c r="V21" s="17"/>
      <c r="W21" s="17"/>
      <c r="X21" s="18" t="str">
        <f>IF(C21="","",IF(OR(Novice[[#This Row],[Outside/Broke (O/B)]]="O",Novice[[#This Row],[Outside/Broke (O/B)]]="B"),0,VLOOKUP((V21/MAlength*150),CanterScore,2,TRUE)))</f>
        <v/>
      </c>
      <c r="Y21" s="17"/>
      <c r="Z21" s="17"/>
      <c r="AA21" s="18" t="str">
        <f>IF(C21="","",IF(OR(Novice[[#This Row],[Outside/Broke (O/B)2]]="O",Novice[[#This Row],[Outside/Broke (O/B)2]]="B"),0,IF((Y21/MAlength*150)=0, 0,IF((Y21/MAlength*150)&lt;'MA calc'!$A$4, 15, VLOOKUP((Y21/MAlength*150),WalkScore,2,TRUE)))))</f>
        <v/>
      </c>
      <c r="AB21" s="17"/>
    </row>
    <row r="22" spans="1:28" s="35" customFormat="1" x14ac:dyDescent="0.3">
      <c r="A22" s="17"/>
      <c r="B22" s="17"/>
      <c r="C22" s="17"/>
      <c r="D22" s="17"/>
      <c r="E22" s="17"/>
      <c r="F22" s="17"/>
      <c r="G22" s="17" t="str">
        <f t="shared" si="0"/>
        <v/>
      </c>
      <c r="H22" s="52" t="str">
        <f>IF(Novice[[#This Row],[RIDER]]="","",IF((COUNTIF(J22, "E")), "E", (SUM(J22+I22))))</f>
        <v/>
      </c>
      <c r="I22" s="52" t="str">
        <f>IF(Novice[[#This Row],[RIDER]]="","",SUM(X22,AA22))</f>
        <v/>
      </c>
      <c r="J22" s="42" t="str">
        <f>IF(Novice[[#This Row],[RIDER]]="","",IF(COUNTIF(K22:T22, "E"), "E", (SUM(K22:T22)-U22)))</f>
        <v/>
      </c>
      <c r="K22" s="17">
        <v>0</v>
      </c>
      <c r="L22" s="17">
        <v>0</v>
      </c>
      <c r="M22" s="17">
        <v>0</v>
      </c>
      <c r="N22" s="17">
        <v>0</v>
      </c>
      <c r="O22" s="17">
        <v>0</v>
      </c>
      <c r="P22" s="17">
        <v>0</v>
      </c>
      <c r="Q22" s="17">
        <v>0</v>
      </c>
      <c r="R22" s="17">
        <v>0</v>
      </c>
      <c r="S22" s="17">
        <v>0</v>
      </c>
      <c r="T22" s="17">
        <v>0</v>
      </c>
      <c r="U22" s="17">
        <v>0</v>
      </c>
      <c r="V22" s="17"/>
      <c r="W22" s="17"/>
      <c r="X22" s="18" t="str">
        <f>IF(C22="","",IF(OR(Novice[[#This Row],[Outside/Broke (O/B)]]="O",Novice[[#This Row],[Outside/Broke (O/B)]]="B"),0,VLOOKUP((V22/MAlength*150),CanterScore,2,TRUE)))</f>
        <v/>
      </c>
      <c r="Y22" s="17"/>
      <c r="Z22" s="17"/>
      <c r="AA22" s="18" t="str">
        <f>IF(C22="","",IF(OR(Novice[[#This Row],[Outside/Broke (O/B)2]]="O",Novice[[#This Row],[Outside/Broke (O/B)2]]="B"),0,IF((Y22/MAlength*150)=0, 0,IF((Y22/MAlength*150)&lt;'MA calc'!$A$4, 15, VLOOKUP((Y22/MAlength*150),WalkScore,2,TRUE)))))</f>
        <v/>
      </c>
      <c r="AB22" s="17"/>
    </row>
    <row r="23" spans="1:28" s="35" customFormat="1" x14ac:dyDescent="0.3">
      <c r="A23" s="17"/>
      <c r="B23" s="17"/>
      <c r="C23" s="17"/>
      <c r="D23" s="17"/>
      <c r="E23" s="17"/>
      <c r="F23" s="17"/>
      <c r="G23" s="17" t="str">
        <f t="shared" si="0"/>
        <v/>
      </c>
      <c r="H23" s="52" t="str">
        <f>IF(Novice[[#This Row],[RIDER]]="","",IF((COUNTIF(J23, "E")), "E", (SUM(J23+I23))))</f>
        <v/>
      </c>
      <c r="I23" s="52" t="str">
        <f>IF(Novice[[#This Row],[RIDER]]="","",SUM(X23,AA23))</f>
        <v/>
      </c>
      <c r="J23" s="42" t="str">
        <f>IF(Novice[[#This Row],[RIDER]]="","",IF(COUNTIF(K23:T23, "E"), "E", (SUM(K23:T23)-U23)))</f>
        <v/>
      </c>
      <c r="K23" s="17">
        <v>0</v>
      </c>
      <c r="L23" s="17">
        <v>0</v>
      </c>
      <c r="M23" s="17">
        <v>0</v>
      </c>
      <c r="N23" s="17">
        <v>0</v>
      </c>
      <c r="O23" s="17">
        <v>0</v>
      </c>
      <c r="P23" s="17">
        <v>0</v>
      </c>
      <c r="Q23" s="17">
        <v>0</v>
      </c>
      <c r="R23" s="17">
        <v>0</v>
      </c>
      <c r="S23" s="17">
        <v>0</v>
      </c>
      <c r="T23" s="17">
        <v>0</v>
      </c>
      <c r="U23" s="17">
        <v>0</v>
      </c>
      <c r="V23" s="17"/>
      <c r="W23" s="17"/>
      <c r="X23" s="18" t="str">
        <f>IF(C23="","",IF(OR(Novice[[#This Row],[Outside/Broke (O/B)]]="O",Novice[[#This Row],[Outside/Broke (O/B)]]="B"),0,VLOOKUP((V23/MAlength*150),CanterScore,2,TRUE)))</f>
        <v/>
      </c>
      <c r="Y23" s="17"/>
      <c r="Z23" s="17"/>
      <c r="AA23" s="18" t="str">
        <f>IF(C23="","",IF(OR(Novice[[#This Row],[Outside/Broke (O/B)2]]="O",Novice[[#This Row],[Outside/Broke (O/B)2]]="B"),0,IF((Y23/MAlength*150)=0, 0,IF((Y23/MAlength*150)&lt;'MA calc'!$A$4, 15, VLOOKUP((Y23/MAlength*150),WalkScore,2,TRUE)))))</f>
        <v/>
      </c>
      <c r="AB23" s="17"/>
    </row>
    <row r="24" spans="1:28" s="35" customFormat="1" x14ac:dyDescent="0.3">
      <c r="A24" s="17"/>
      <c r="B24" s="17"/>
      <c r="C24" s="17"/>
      <c r="D24" s="17"/>
      <c r="E24" s="17"/>
      <c r="F24" s="17"/>
      <c r="G24" s="17" t="str">
        <f t="shared" si="0"/>
        <v/>
      </c>
      <c r="H24" s="52" t="str">
        <f>IF(Novice[[#This Row],[RIDER]]="","",IF((COUNTIF(J24, "E")), "E", (SUM(J24+I24))))</f>
        <v/>
      </c>
      <c r="I24" s="52" t="str">
        <f>IF(Novice[[#This Row],[RIDER]]="","",SUM(X24,AA24))</f>
        <v/>
      </c>
      <c r="J24" s="42" t="str">
        <f>IF(Novice[[#This Row],[RIDER]]="","",IF(COUNTIF(K24:T24, "E"), "E", (SUM(K24:T24)-U24)))</f>
        <v/>
      </c>
      <c r="K24" s="17">
        <v>0</v>
      </c>
      <c r="L24" s="17">
        <v>0</v>
      </c>
      <c r="M24" s="17">
        <v>0</v>
      </c>
      <c r="N24" s="17">
        <v>0</v>
      </c>
      <c r="O24" s="17">
        <v>0</v>
      </c>
      <c r="P24" s="17">
        <v>0</v>
      </c>
      <c r="Q24" s="17">
        <v>0</v>
      </c>
      <c r="R24" s="17">
        <v>0</v>
      </c>
      <c r="S24" s="17">
        <v>0</v>
      </c>
      <c r="T24" s="17">
        <v>0</v>
      </c>
      <c r="U24" s="17">
        <v>0</v>
      </c>
      <c r="V24" s="17"/>
      <c r="W24" s="17"/>
      <c r="X24" s="18" t="str">
        <f>IF(C24="","",IF(OR(Novice[[#This Row],[Outside/Broke (O/B)]]="O",Novice[[#This Row],[Outside/Broke (O/B)]]="B"),0,VLOOKUP((V24/MAlength*150),CanterScore,2,TRUE)))</f>
        <v/>
      </c>
      <c r="Y24" s="17"/>
      <c r="Z24" s="17"/>
      <c r="AA24" s="18" t="str">
        <f>IF(C24="","",IF(OR(Novice[[#This Row],[Outside/Broke (O/B)2]]="O",Novice[[#This Row],[Outside/Broke (O/B)2]]="B"),0,IF((Y24/MAlength*150)=0, 0,IF((Y24/MAlength*150)&lt;'MA calc'!$A$4, 15, VLOOKUP((Y24/MAlength*150),WalkScore,2,TRUE)))))</f>
        <v/>
      </c>
      <c r="AB24" s="17"/>
    </row>
    <row r="25" spans="1:28" s="35" customFormat="1" x14ac:dyDescent="0.3">
      <c r="A25" s="17"/>
      <c r="B25" s="17"/>
      <c r="C25" s="17"/>
      <c r="D25" s="17"/>
      <c r="E25" s="17"/>
      <c r="F25" s="17"/>
      <c r="G25" s="17" t="str">
        <f t="shared" si="0"/>
        <v/>
      </c>
      <c r="H25" s="52" t="str">
        <f>IF(Novice[[#This Row],[RIDER]]="","",IF((COUNTIF(J25, "E")), "E", (SUM(J25+I25))))</f>
        <v/>
      </c>
      <c r="I25" s="52" t="str">
        <f>IF(Novice[[#This Row],[RIDER]]="","",SUM(X25,AA25))</f>
        <v/>
      </c>
      <c r="J25" s="42" t="str">
        <f>IF(Novice[[#This Row],[RIDER]]="","",IF(COUNTIF(K25:T25, "E"), "E", (SUM(K25:T25)-U25)))</f>
        <v/>
      </c>
      <c r="K25" s="17">
        <v>0</v>
      </c>
      <c r="L25" s="17">
        <v>0</v>
      </c>
      <c r="M25" s="17">
        <v>0</v>
      </c>
      <c r="N25" s="17">
        <v>0</v>
      </c>
      <c r="O25" s="17">
        <v>0</v>
      </c>
      <c r="P25" s="17">
        <v>0</v>
      </c>
      <c r="Q25" s="17">
        <v>0</v>
      </c>
      <c r="R25" s="17">
        <v>0</v>
      </c>
      <c r="S25" s="17">
        <v>0</v>
      </c>
      <c r="T25" s="17">
        <v>0</v>
      </c>
      <c r="U25" s="17">
        <v>0</v>
      </c>
      <c r="V25" s="17"/>
      <c r="W25" s="17"/>
      <c r="X25" s="18" t="str">
        <f>IF(C25="","",IF(OR(Novice[[#This Row],[Outside/Broke (O/B)]]="O",Novice[[#This Row],[Outside/Broke (O/B)]]="B"),0,VLOOKUP((V25/MAlength*150),CanterScore,2,TRUE)))</f>
        <v/>
      </c>
      <c r="Y25" s="17"/>
      <c r="Z25" s="17"/>
      <c r="AA25" s="18" t="str">
        <f>IF(C25="","",IF(OR(Novice[[#This Row],[Outside/Broke (O/B)2]]="O",Novice[[#This Row],[Outside/Broke (O/B)2]]="B"),0,IF((Y25/MAlength*150)=0, 0,IF((Y25/MAlength*150)&lt;'MA calc'!$A$4, 15, VLOOKUP((Y25/MAlength*150),WalkScore,2,TRUE)))))</f>
        <v/>
      </c>
      <c r="AB25" s="17"/>
    </row>
    <row r="26" spans="1:28" s="35" customFormat="1" x14ac:dyDescent="0.3">
      <c r="A26" s="17"/>
      <c r="B26" s="17"/>
      <c r="C26" s="17"/>
      <c r="D26" s="17"/>
      <c r="E26" s="17"/>
      <c r="F26" s="17"/>
      <c r="G26" s="17" t="str">
        <f t="shared" si="0"/>
        <v/>
      </c>
      <c r="H26" s="52" t="str">
        <f>IF(Novice[[#This Row],[RIDER]]="","",IF((COUNTIF(J26, "E")), "E", (SUM(J26+I26))))</f>
        <v/>
      </c>
      <c r="I26" s="52" t="str">
        <f>IF(Novice[[#This Row],[RIDER]]="","",SUM(X26,AA26))</f>
        <v/>
      </c>
      <c r="J26" s="42" t="str">
        <f>IF(Novice[[#This Row],[RIDER]]="","",IF(COUNTIF(K26:T26, "E"), "E", (SUM(K26:T26)-U26)))</f>
        <v/>
      </c>
      <c r="K26" s="17">
        <v>0</v>
      </c>
      <c r="L26" s="17">
        <v>0</v>
      </c>
      <c r="M26" s="17">
        <v>0</v>
      </c>
      <c r="N26" s="17">
        <v>0</v>
      </c>
      <c r="O26" s="17">
        <v>0</v>
      </c>
      <c r="P26" s="17">
        <v>0</v>
      </c>
      <c r="Q26" s="17">
        <v>0</v>
      </c>
      <c r="R26" s="17">
        <v>0</v>
      </c>
      <c r="S26" s="17">
        <v>0</v>
      </c>
      <c r="T26" s="17">
        <v>0</v>
      </c>
      <c r="U26" s="17">
        <v>0</v>
      </c>
      <c r="V26" s="17"/>
      <c r="W26" s="17"/>
      <c r="X26" s="18" t="str">
        <f>IF(C26="","",IF(OR(Novice[[#This Row],[Outside/Broke (O/B)]]="O",Novice[[#This Row],[Outside/Broke (O/B)]]="B"),0,VLOOKUP((V26/MAlength*150),CanterScore,2,TRUE)))</f>
        <v/>
      </c>
      <c r="Y26" s="17"/>
      <c r="Z26" s="17"/>
      <c r="AA26" s="18" t="str">
        <f>IF(C26="","",IF(OR(Novice[[#This Row],[Outside/Broke (O/B)2]]="O",Novice[[#This Row],[Outside/Broke (O/B)2]]="B"),0,IF((Y26/MAlength*150)=0, 0,IF((Y26/MAlength*150)&lt;'MA calc'!$A$4, 15, VLOOKUP((Y26/MAlength*150),WalkScore,2,TRUE)))))</f>
        <v/>
      </c>
      <c r="AB26" s="17"/>
    </row>
    <row r="27" spans="1:28" s="35" customFormat="1" x14ac:dyDescent="0.3">
      <c r="A27" s="17"/>
      <c r="B27" s="17"/>
      <c r="C27" s="17"/>
      <c r="D27" s="17"/>
      <c r="E27" s="17"/>
      <c r="F27" s="17"/>
      <c r="G27" s="17" t="str">
        <f t="shared" si="0"/>
        <v/>
      </c>
      <c r="H27" s="52" t="str">
        <f>IF(Novice[[#This Row],[RIDER]]="","",IF((COUNTIF(J27, "E")), "E", (SUM(J27+I27))))</f>
        <v/>
      </c>
      <c r="I27" s="52" t="str">
        <f>IF(Novice[[#This Row],[RIDER]]="","",SUM(X27,AA27))</f>
        <v/>
      </c>
      <c r="J27" s="42" t="str">
        <f>IF(Novice[[#This Row],[RIDER]]="","",IF(COUNTIF(K27:T27, "E"), "E", (SUM(K27:T27)-U27)))</f>
        <v/>
      </c>
      <c r="K27" s="17">
        <v>0</v>
      </c>
      <c r="L27" s="17">
        <v>0</v>
      </c>
      <c r="M27" s="17">
        <v>0</v>
      </c>
      <c r="N27" s="17">
        <v>0</v>
      </c>
      <c r="O27" s="17">
        <v>0</v>
      </c>
      <c r="P27" s="17">
        <v>0</v>
      </c>
      <c r="Q27" s="17">
        <v>0</v>
      </c>
      <c r="R27" s="17">
        <v>0</v>
      </c>
      <c r="S27" s="17">
        <v>0</v>
      </c>
      <c r="T27" s="17">
        <v>0</v>
      </c>
      <c r="U27" s="17">
        <v>0</v>
      </c>
      <c r="V27" s="17"/>
      <c r="W27" s="17"/>
      <c r="X27" s="18" t="str">
        <f>IF(C27="","",IF(OR(Novice[[#This Row],[Outside/Broke (O/B)]]="O",Novice[[#This Row],[Outside/Broke (O/B)]]="B"),0,VLOOKUP((V27/MAlength*150),CanterScore,2,TRUE)))</f>
        <v/>
      </c>
      <c r="Y27" s="17"/>
      <c r="Z27" s="17"/>
      <c r="AA27" s="18" t="str">
        <f>IF(C27="","",IF(OR(Novice[[#This Row],[Outside/Broke (O/B)2]]="O",Novice[[#This Row],[Outside/Broke (O/B)2]]="B"),0,IF((Y27/MAlength*150)=0, 0,IF((Y27/MAlength*150)&lt;'MA calc'!$A$4, 15, VLOOKUP((Y27/MAlength*150),WalkScore,2,TRUE)))))</f>
        <v/>
      </c>
      <c r="AB27" s="17"/>
    </row>
    <row r="28" spans="1:28" s="35" customFormat="1" x14ac:dyDescent="0.3">
      <c r="A28" s="17"/>
      <c r="B28" s="17"/>
      <c r="C28" s="17"/>
      <c r="D28" s="17"/>
      <c r="E28" s="17"/>
      <c r="F28" s="17"/>
      <c r="G28" s="17" t="str">
        <f t="shared" si="0"/>
        <v/>
      </c>
      <c r="H28" s="52" t="str">
        <f>IF(Novice[[#This Row],[RIDER]]="","",IF((COUNTIF(J28, "E")), "E", (SUM(J28+I28))))</f>
        <v/>
      </c>
      <c r="I28" s="52" t="str">
        <f>IF(Novice[[#This Row],[RIDER]]="","",SUM(X28,AA28))</f>
        <v/>
      </c>
      <c r="J28" s="42" t="str">
        <f>IF(Novice[[#This Row],[RIDER]]="","",IF(COUNTIF(K28:T28, "E"), "E", (SUM(K28:T28)-U28)))</f>
        <v/>
      </c>
      <c r="K28" s="17">
        <v>0</v>
      </c>
      <c r="L28" s="17">
        <v>0</v>
      </c>
      <c r="M28" s="17">
        <v>0</v>
      </c>
      <c r="N28" s="17">
        <v>0</v>
      </c>
      <c r="O28" s="17">
        <v>0</v>
      </c>
      <c r="P28" s="17">
        <v>0</v>
      </c>
      <c r="Q28" s="17">
        <v>0</v>
      </c>
      <c r="R28" s="17">
        <v>0</v>
      </c>
      <c r="S28" s="17">
        <v>0</v>
      </c>
      <c r="T28" s="17">
        <v>0</v>
      </c>
      <c r="U28" s="17">
        <v>0</v>
      </c>
      <c r="V28" s="17"/>
      <c r="W28" s="17"/>
      <c r="X28" s="18" t="str">
        <f>IF(C28="","",IF(OR(Novice[[#This Row],[Outside/Broke (O/B)]]="O",Novice[[#This Row],[Outside/Broke (O/B)]]="B"),0,VLOOKUP((V28/MAlength*150),CanterScore,2,TRUE)))</f>
        <v/>
      </c>
      <c r="Y28" s="17"/>
      <c r="Z28" s="17"/>
      <c r="AA28" s="18" t="str">
        <f>IF(C28="","",IF(OR(Novice[[#This Row],[Outside/Broke (O/B)2]]="O",Novice[[#This Row],[Outside/Broke (O/B)2]]="B"),0,IF((Y28/MAlength*150)=0, 0,IF((Y28/MAlength*150)&lt;'MA calc'!$A$4, 15, VLOOKUP((Y28/MAlength*150),WalkScore,2,TRUE)))))</f>
        <v/>
      </c>
      <c r="AB28" s="17"/>
    </row>
    <row r="29" spans="1:28" s="35" customFormat="1" x14ac:dyDescent="0.3">
      <c r="A29" s="17"/>
      <c r="B29" s="17"/>
      <c r="C29" s="17"/>
      <c r="D29" s="17"/>
      <c r="E29" s="17"/>
      <c r="F29" s="17"/>
      <c r="G29" s="17" t="str">
        <f t="shared" si="0"/>
        <v/>
      </c>
      <c r="H29" s="52" t="str">
        <f>IF(Novice[[#This Row],[RIDER]]="","",IF((COUNTIF(J29, "E")), "E", (SUM(J29+I29))))</f>
        <v/>
      </c>
      <c r="I29" s="52" t="str">
        <f>IF(Novice[[#This Row],[RIDER]]="","",SUM(X29,AA29))</f>
        <v/>
      </c>
      <c r="J29" s="42" t="str">
        <f>IF(Novice[[#This Row],[RIDER]]="","",IF(COUNTIF(K29:T29, "E"), "E", (SUM(K29:T29)-U29)))</f>
        <v/>
      </c>
      <c r="K29" s="17">
        <v>0</v>
      </c>
      <c r="L29" s="17">
        <v>0</v>
      </c>
      <c r="M29" s="17">
        <v>0</v>
      </c>
      <c r="N29" s="17">
        <v>0</v>
      </c>
      <c r="O29" s="17">
        <v>0</v>
      </c>
      <c r="P29" s="17">
        <v>0</v>
      </c>
      <c r="Q29" s="17">
        <v>0</v>
      </c>
      <c r="R29" s="17">
        <v>0</v>
      </c>
      <c r="S29" s="17">
        <v>0</v>
      </c>
      <c r="T29" s="17">
        <v>0</v>
      </c>
      <c r="U29" s="17">
        <v>0</v>
      </c>
      <c r="V29" s="17"/>
      <c r="W29" s="17"/>
      <c r="X29" s="18" t="str">
        <f>IF(C29="","",IF(OR(Novice[[#This Row],[Outside/Broke (O/B)]]="O",Novice[[#This Row],[Outside/Broke (O/B)]]="B"),0,VLOOKUP((V29/MAlength*150),CanterScore,2,TRUE)))</f>
        <v/>
      </c>
      <c r="Y29" s="17"/>
      <c r="Z29" s="17"/>
      <c r="AA29" s="18" t="str">
        <f>IF(C29="","",IF(OR(Novice[[#This Row],[Outside/Broke (O/B)2]]="O",Novice[[#This Row],[Outside/Broke (O/B)2]]="B"),0,IF((Y29/MAlength*150)=0, 0,IF((Y29/MAlength*150)&lt;'MA calc'!$A$4, 15, VLOOKUP((Y29/MAlength*150),WalkScore,2,TRUE)))))</f>
        <v/>
      </c>
      <c r="AB29" s="17"/>
    </row>
    <row r="30" spans="1:28" s="35" customFormat="1" x14ac:dyDescent="0.3">
      <c r="A30" s="17"/>
      <c r="B30" s="17"/>
      <c r="C30" s="17"/>
      <c r="D30" s="17"/>
      <c r="E30" s="17"/>
      <c r="F30" s="17"/>
      <c r="G30" s="17" t="str">
        <f t="shared" si="0"/>
        <v/>
      </c>
      <c r="H30" s="52" t="str">
        <f>IF(Novice[[#This Row],[RIDER]]="","",IF((COUNTIF(J30, "E")), "E", (SUM(J30+I30))))</f>
        <v/>
      </c>
      <c r="I30" s="52" t="str">
        <f>IF(Novice[[#This Row],[RIDER]]="","",SUM(X30,AA30))</f>
        <v/>
      </c>
      <c r="J30" s="42" t="str">
        <f>IF(Novice[[#This Row],[RIDER]]="","",IF(COUNTIF(K30:T30, "E"), "E", (SUM(K30:T30)-U30)))</f>
        <v/>
      </c>
      <c r="K30" s="17">
        <v>0</v>
      </c>
      <c r="L30" s="17">
        <v>0</v>
      </c>
      <c r="M30" s="17">
        <v>0</v>
      </c>
      <c r="N30" s="17">
        <v>0</v>
      </c>
      <c r="O30" s="17">
        <v>0</v>
      </c>
      <c r="P30" s="17">
        <v>0</v>
      </c>
      <c r="Q30" s="17">
        <v>0</v>
      </c>
      <c r="R30" s="17">
        <v>0</v>
      </c>
      <c r="S30" s="17">
        <v>0</v>
      </c>
      <c r="T30" s="17">
        <v>0</v>
      </c>
      <c r="U30" s="17">
        <v>0</v>
      </c>
      <c r="V30" s="17"/>
      <c r="W30" s="17"/>
      <c r="X30" s="18" t="str">
        <f>IF(C30="","",IF(OR(Novice[[#This Row],[Outside/Broke (O/B)]]="O",Novice[[#This Row],[Outside/Broke (O/B)]]="B"),0,VLOOKUP((V30/MAlength*150),CanterScore,2,TRUE)))</f>
        <v/>
      </c>
      <c r="Y30" s="17"/>
      <c r="Z30" s="17"/>
      <c r="AA30" s="18" t="str">
        <f>IF(C30="","",IF(OR(Novice[[#This Row],[Outside/Broke (O/B)2]]="O",Novice[[#This Row],[Outside/Broke (O/B)2]]="B"),0,IF((Y30/MAlength*150)=0, 0,IF((Y30/MAlength*150)&lt;'MA calc'!$A$4, 15, VLOOKUP((Y30/MAlength*150),WalkScore,2,TRUE)))))</f>
        <v/>
      </c>
      <c r="AB30" s="17"/>
    </row>
    <row r="31" spans="1:28" s="35" customFormat="1" x14ac:dyDescent="0.3">
      <c r="A31" s="17"/>
      <c r="B31" s="17"/>
      <c r="C31" s="17"/>
      <c r="D31" s="17"/>
      <c r="E31" s="17"/>
      <c r="F31" s="17"/>
      <c r="G31" s="17" t="str">
        <f t="shared" si="0"/>
        <v/>
      </c>
      <c r="H31" s="52" t="str">
        <f>IF(Novice[[#This Row],[RIDER]]="","",IF((COUNTIF(J31, "E")), "E", (SUM(J31+I31))))</f>
        <v/>
      </c>
      <c r="I31" s="52" t="str">
        <f>IF(Novice[[#This Row],[RIDER]]="","",SUM(X31,AA31))</f>
        <v/>
      </c>
      <c r="J31" s="42" t="str">
        <f>IF(Novice[[#This Row],[RIDER]]="","",IF(COUNTIF(K31:T31, "E"), "E", (SUM(K31:T31)-U31)))</f>
        <v/>
      </c>
      <c r="K31" s="17">
        <v>0</v>
      </c>
      <c r="L31" s="17">
        <v>0</v>
      </c>
      <c r="M31" s="17">
        <v>0</v>
      </c>
      <c r="N31" s="17">
        <v>0</v>
      </c>
      <c r="O31" s="17">
        <v>0</v>
      </c>
      <c r="P31" s="17">
        <v>0</v>
      </c>
      <c r="Q31" s="17">
        <v>0</v>
      </c>
      <c r="R31" s="17">
        <v>0</v>
      </c>
      <c r="S31" s="17">
        <v>0</v>
      </c>
      <c r="T31" s="17">
        <v>0</v>
      </c>
      <c r="U31" s="17">
        <v>0</v>
      </c>
      <c r="V31" s="17"/>
      <c r="W31" s="17"/>
      <c r="X31" s="18" t="str">
        <f>IF(C31="","",IF(OR(Novice[[#This Row],[Outside/Broke (O/B)]]="O",Novice[[#This Row],[Outside/Broke (O/B)]]="B"),0,VLOOKUP((V31/MAlength*150),CanterScore,2,TRUE)))</f>
        <v/>
      </c>
      <c r="Y31" s="17"/>
      <c r="Z31" s="17"/>
      <c r="AA31" s="18" t="str">
        <f>IF(C31="","",IF(OR(Novice[[#This Row],[Outside/Broke (O/B)2]]="O",Novice[[#This Row],[Outside/Broke (O/B)2]]="B"),0,IF((Y31/MAlength*150)=0, 0,IF((Y31/MAlength*150)&lt;'MA calc'!$A$4, 15, VLOOKUP((Y31/MAlength*150),WalkScore,2,TRUE)))))</f>
        <v/>
      </c>
      <c r="AB31" s="17"/>
    </row>
    <row r="32" spans="1:28" s="35" customFormat="1" x14ac:dyDescent="0.3">
      <c r="A32" s="17"/>
      <c r="B32" s="17"/>
      <c r="C32" s="17"/>
      <c r="D32" s="17"/>
      <c r="E32" s="17"/>
      <c r="F32" s="17"/>
      <c r="G32" s="17" t="str">
        <f t="shared" si="0"/>
        <v/>
      </c>
      <c r="H32" s="52" t="str">
        <f>IF(Novice[[#This Row],[RIDER]]="","",IF((COUNTIF(J32, "E")), "E", (SUM(J32+I32))))</f>
        <v/>
      </c>
      <c r="I32" s="52" t="str">
        <f>IF(Novice[[#This Row],[RIDER]]="","",SUM(X32,AA32))</f>
        <v/>
      </c>
      <c r="J32" s="42" t="str">
        <f>IF(Novice[[#This Row],[RIDER]]="","",IF(COUNTIF(K32:T32, "E"), "E", (SUM(K32:T32)-U32)))</f>
        <v/>
      </c>
      <c r="K32" s="17">
        <v>0</v>
      </c>
      <c r="L32" s="17">
        <v>0</v>
      </c>
      <c r="M32" s="17">
        <v>0</v>
      </c>
      <c r="N32" s="17">
        <v>0</v>
      </c>
      <c r="O32" s="17">
        <v>0</v>
      </c>
      <c r="P32" s="17">
        <v>0</v>
      </c>
      <c r="Q32" s="17">
        <v>0</v>
      </c>
      <c r="R32" s="17">
        <v>0</v>
      </c>
      <c r="S32" s="17">
        <v>0</v>
      </c>
      <c r="T32" s="17">
        <v>0</v>
      </c>
      <c r="U32" s="17">
        <v>0</v>
      </c>
      <c r="V32" s="17"/>
      <c r="W32" s="17"/>
      <c r="X32" s="18" t="str">
        <f>IF(C32="","",IF(OR(Novice[[#This Row],[Outside/Broke (O/B)]]="O",Novice[[#This Row],[Outside/Broke (O/B)]]="B"),0,VLOOKUP((V32/MAlength*150),CanterScore,2,TRUE)))</f>
        <v/>
      </c>
      <c r="Y32" s="17"/>
      <c r="Z32" s="17"/>
      <c r="AA32" s="18" t="str">
        <f>IF(C32="","",IF(OR(Novice[[#This Row],[Outside/Broke (O/B)2]]="O",Novice[[#This Row],[Outside/Broke (O/B)2]]="B"),0,IF((Y32/MAlength*150)=0, 0,IF((Y32/MAlength*150)&lt;'MA calc'!$A$4, 15, VLOOKUP((Y32/MAlength*150),WalkScore,2,TRUE)))))</f>
        <v/>
      </c>
      <c r="AB32" s="17"/>
    </row>
    <row r="33" spans="1:28" s="35" customFormat="1" x14ac:dyDescent="0.3">
      <c r="A33" s="17"/>
      <c r="B33" s="17"/>
      <c r="C33" s="17"/>
      <c r="D33" s="17"/>
      <c r="E33" s="17"/>
      <c r="F33" s="17"/>
      <c r="G33" s="17" t="str">
        <f t="shared" si="0"/>
        <v/>
      </c>
      <c r="H33" s="52" t="str">
        <f>IF(Novice[[#This Row],[RIDER]]="","",IF((COUNTIF(J33, "E")), "E", (SUM(J33+I33))))</f>
        <v/>
      </c>
      <c r="I33" s="52" t="str">
        <f>IF(Novice[[#This Row],[RIDER]]="","",SUM(X33,AA33))</f>
        <v/>
      </c>
      <c r="J33" s="42" t="str">
        <f>IF(Novice[[#This Row],[RIDER]]="","",IF(COUNTIF(K33:T33, "E"), "E", (SUM(K33:T33)-U33)))</f>
        <v/>
      </c>
      <c r="K33" s="17">
        <v>0</v>
      </c>
      <c r="L33" s="17">
        <v>0</v>
      </c>
      <c r="M33" s="17">
        <v>0</v>
      </c>
      <c r="N33" s="17">
        <v>0</v>
      </c>
      <c r="O33" s="17">
        <v>0</v>
      </c>
      <c r="P33" s="17">
        <v>0</v>
      </c>
      <c r="Q33" s="17">
        <v>0</v>
      </c>
      <c r="R33" s="17">
        <v>0</v>
      </c>
      <c r="S33" s="17">
        <v>0</v>
      </c>
      <c r="T33" s="17">
        <v>0</v>
      </c>
      <c r="U33" s="17">
        <v>0</v>
      </c>
      <c r="V33" s="17"/>
      <c r="W33" s="17"/>
      <c r="X33" s="18" t="str">
        <f>IF(C33="","",IF(OR(Novice[[#This Row],[Outside/Broke (O/B)]]="O",Novice[[#This Row],[Outside/Broke (O/B)]]="B"),0,VLOOKUP((V33/MAlength*150),CanterScore,2,TRUE)))</f>
        <v/>
      </c>
      <c r="Y33" s="17"/>
      <c r="Z33" s="17"/>
      <c r="AA33" s="18" t="str">
        <f>IF(C33="","",IF(OR(Novice[[#This Row],[Outside/Broke (O/B)2]]="O",Novice[[#This Row],[Outside/Broke (O/B)2]]="B"),0,IF((Y33/MAlength*150)=0, 0,IF((Y33/MAlength*150)&lt;'MA calc'!$A$4, 15, VLOOKUP((Y33/MAlength*150),WalkScore,2,TRUE)))))</f>
        <v/>
      </c>
      <c r="AB33" s="17"/>
    </row>
    <row r="34" spans="1:28" s="35" customFormat="1" x14ac:dyDescent="0.3">
      <c r="A34" s="17"/>
      <c r="B34" s="17"/>
      <c r="C34" s="17"/>
      <c r="D34" s="17"/>
      <c r="E34" s="17"/>
      <c r="F34" s="17"/>
      <c r="G34" s="17" t="str">
        <f t="shared" si="0"/>
        <v/>
      </c>
      <c r="H34" s="52" t="str">
        <f>IF(Novice[[#This Row],[RIDER]]="","",IF((COUNTIF(J34, "E")), "E", (SUM(J34+I34))))</f>
        <v/>
      </c>
      <c r="I34" s="52" t="str">
        <f>IF(Novice[[#This Row],[RIDER]]="","",SUM(X34,AA34))</f>
        <v/>
      </c>
      <c r="J34" s="42" t="str">
        <f>IF(Novice[[#This Row],[RIDER]]="","",IF(COUNTIF(K34:T34, "E"), "E", (SUM(K34:T34)-U34)))</f>
        <v/>
      </c>
      <c r="K34" s="17">
        <v>0</v>
      </c>
      <c r="L34" s="17">
        <v>0</v>
      </c>
      <c r="M34" s="17">
        <v>0</v>
      </c>
      <c r="N34" s="17">
        <v>0</v>
      </c>
      <c r="O34" s="17">
        <v>0</v>
      </c>
      <c r="P34" s="17">
        <v>0</v>
      </c>
      <c r="Q34" s="17">
        <v>0</v>
      </c>
      <c r="R34" s="17">
        <v>0</v>
      </c>
      <c r="S34" s="17">
        <v>0</v>
      </c>
      <c r="T34" s="17">
        <v>0</v>
      </c>
      <c r="U34" s="17">
        <v>0</v>
      </c>
      <c r="V34" s="17"/>
      <c r="W34" s="17"/>
      <c r="X34" s="18" t="str">
        <f>IF(C34="","",IF(OR(Novice[[#This Row],[Outside/Broke (O/B)]]="O",Novice[[#This Row],[Outside/Broke (O/B)]]="B"),0,VLOOKUP((V34/MAlength*150),CanterScore,2,TRUE)))</f>
        <v/>
      </c>
      <c r="Y34" s="17"/>
      <c r="Z34" s="17"/>
      <c r="AA34" s="18" t="str">
        <f>IF(C34="","",IF(OR(Novice[[#This Row],[Outside/Broke (O/B)2]]="O",Novice[[#This Row],[Outside/Broke (O/B)2]]="B"),0,IF((Y34/MAlength*150)=0, 0,IF((Y34/MAlength*150)&lt;'MA calc'!$A$4, 15, VLOOKUP((Y34/MAlength*150),WalkScore,2,TRUE)))))</f>
        <v/>
      </c>
      <c r="AB34" s="17"/>
    </row>
    <row r="35" spans="1:28" s="35" customFormat="1" x14ac:dyDescent="0.3">
      <c r="A35" s="17"/>
      <c r="B35" s="17"/>
      <c r="C35" s="17"/>
      <c r="D35" s="17"/>
      <c r="E35" s="17"/>
      <c r="F35" s="17"/>
      <c r="G35" s="17" t="str">
        <f t="shared" si="0"/>
        <v/>
      </c>
      <c r="H35" s="52" t="str">
        <f>IF(Novice[[#This Row],[RIDER]]="","",IF((COUNTIF(J35, "E")), "E", (SUM(J35+I35))))</f>
        <v/>
      </c>
      <c r="I35" s="52" t="str">
        <f>IF(Novice[[#This Row],[RIDER]]="","",SUM(X35,AA35))</f>
        <v/>
      </c>
      <c r="J35" s="42" t="str">
        <f>IF(Novice[[#This Row],[RIDER]]="","",IF(COUNTIF(K35:T35, "E"), "E", (SUM(K35:T35)-U35)))</f>
        <v/>
      </c>
      <c r="K35" s="17">
        <v>0</v>
      </c>
      <c r="L35" s="17">
        <v>0</v>
      </c>
      <c r="M35" s="17">
        <v>0</v>
      </c>
      <c r="N35" s="17">
        <v>0</v>
      </c>
      <c r="O35" s="17">
        <v>0</v>
      </c>
      <c r="P35" s="17">
        <v>0</v>
      </c>
      <c r="Q35" s="17">
        <v>0</v>
      </c>
      <c r="R35" s="17">
        <v>0</v>
      </c>
      <c r="S35" s="17">
        <v>0</v>
      </c>
      <c r="T35" s="17">
        <v>0</v>
      </c>
      <c r="U35" s="17">
        <v>0</v>
      </c>
      <c r="V35" s="17"/>
      <c r="W35" s="17"/>
      <c r="X35" s="18" t="str">
        <f>IF(C35="","",IF(OR(Novice[[#This Row],[Outside/Broke (O/B)]]="O",Novice[[#This Row],[Outside/Broke (O/B)]]="B"),0,VLOOKUP((V35/MAlength*150),CanterScore,2,TRUE)))</f>
        <v/>
      </c>
      <c r="Y35" s="17"/>
      <c r="Z35" s="17"/>
      <c r="AA35" s="18" t="str">
        <f>IF(C35="","",IF(OR(Novice[[#This Row],[Outside/Broke (O/B)2]]="O",Novice[[#This Row],[Outside/Broke (O/B)2]]="B"),0,IF((Y35/MAlength*150)=0, 0,IF((Y35/MAlength*150)&lt;'MA calc'!$A$4, 15, VLOOKUP((Y35/MAlength*150),WalkScore,2,TRUE)))))</f>
        <v/>
      </c>
      <c r="AB35" s="17"/>
    </row>
  </sheetData>
  <mergeCells count="5">
    <mergeCell ref="D6:E6"/>
    <mergeCell ref="H6:I6"/>
    <mergeCell ref="K6:L6"/>
    <mergeCell ref="M6:T6"/>
    <mergeCell ref="D7:E7"/>
  </mergeCells>
  <phoneticPr fontId="26" type="noConversion"/>
  <conditionalFormatting sqref="K11:U35">
    <cfRule type="cellIs" dxfId="6" priority="1" operator="greaterThan">
      <formula>10</formula>
    </cfRule>
  </conditionalFormatting>
  <dataValidations count="3">
    <dataValidation type="list" allowBlank="1" showDropDown="1" showErrorMessage="1" errorTitle="Invalid entry" error="Please enter O or B only" sqref="W11:W35 Z11:Z35" xr:uid="{D6097367-C69E-4799-A2D4-CDD3CB5C43FA}">
      <formula1>"B,O"</formula1>
    </dataValidation>
    <dataValidation type="list" allowBlank="1" showDropDown="1" showErrorMessage="1" errorTitle="Invalid entry" error="Please enter Y or N only" sqref="E11:E35" xr:uid="{AD5CCB16-14C7-457F-94EB-2D7C2B56290A}">
      <formula1>"N,Y"</formula1>
    </dataValidation>
    <dataValidation type="list" operator="lessThanOrEqual" allowBlank="1" showDropDown="1" showInputMessage="1" showErrorMessage="1" errorTitle="Invalid entry" error="The maximum score for each obstacle is 10. _x000a_Please enter a number between -5 and 10, or an E." sqref="K11:U35" xr:uid="{29349608-D167-4407-B267-2EE7F2554802}">
      <formula1>"0,1,2,3,4,5,6,7,8,9,10,E,-1,-2,-3,-4,-5"</formula1>
    </dataValidation>
  </dataValidations>
  <printOptions horizontalCentered="1" verticalCentered="1"/>
  <pageMargins left="0.23622047244094491" right="0.23622047244094491" top="0.74803149606299213" bottom="0.74803149606299213" header="0.31496062992125984" footer="0.31496062992125984"/>
  <pageSetup paperSize="9" scale="53" orientation="landscape" r:id="rId1"/>
  <drawing r:id="rId2"/>
  <tableParts count="1">
    <tablePart r:id="rId3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6339F3-D0FC-4084-9EDE-84AB81BD22BF}">
  <sheetPr>
    <pageSetUpPr fitToPage="1"/>
  </sheetPr>
  <dimension ref="A1:AB35"/>
  <sheetViews>
    <sheetView topLeftCell="C7" zoomScale="75" zoomScaleNormal="75" workbookViewId="0">
      <selection activeCell="W15" sqref="W15"/>
    </sheetView>
  </sheetViews>
  <sheetFormatPr defaultColWidth="8.69921875" defaultRowHeight="14.4" x14ac:dyDescent="0.3"/>
  <cols>
    <col min="1" max="1" width="17.19921875" style="14" bestFit="1" customWidth="1"/>
    <col min="2" max="2" width="14.3984375" style="14" bestFit="1" customWidth="1"/>
    <col min="3" max="3" width="15.69921875" style="14" bestFit="1" customWidth="1"/>
    <col min="4" max="4" width="19.19921875" style="14" bestFit="1" customWidth="1"/>
    <col min="5" max="5" width="12.8984375" style="14" customWidth="1"/>
    <col min="6" max="6" width="21.19921875" style="14" customWidth="1"/>
    <col min="7" max="7" width="17.19921875" style="14" bestFit="1" customWidth="1"/>
    <col min="8" max="8" width="11.3984375" style="1" customWidth="1"/>
    <col min="9" max="9" width="10.5" style="1" customWidth="1"/>
    <col min="10" max="10" width="12.5" style="14" bestFit="1" customWidth="1"/>
    <col min="11" max="11" width="8.69921875" style="14" customWidth="1"/>
    <col min="12" max="12" width="8.5" style="14" customWidth="1"/>
    <col min="13" max="15" width="6.69921875" style="14" customWidth="1"/>
    <col min="16" max="16" width="7.19921875" style="14" customWidth="1"/>
    <col min="17" max="21" width="6.69921875" style="14" customWidth="1"/>
    <col min="22" max="23" width="9" style="14" customWidth="1"/>
    <col min="24" max="24" width="6.69921875" style="1" customWidth="1"/>
    <col min="25" max="25" width="9" style="14" customWidth="1"/>
    <col min="26" max="27" width="6.69921875" style="1" customWidth="1"/>
    <col min="28" max="28" width="4.5" style="14" hidden="1" customWidth="1"/>
    <col min="29" max="29" width="23.09765625" style="14" customWidth="1"/>
    <col min="30" max="30" width="3.3984375" style="14" customWidth="1"/>
    <col min="31" max="31" width="2.59765625" style="14" customWidth="1"/>
    <col min="32" max="32" width="2.5" style="14" customWidth="1"/>
    <col min="33" max="33" width="8.69921875" style="14"/>
    <col min="34" max="34" width="8.69921875" style="14" customWidth="1"/>
    <col min="35" max="16384" width="8.69921875" style="14"/>
  </cols>
  <sheetData>
    <row r="1" spans="1:28" ht="3" customHeight="1" x14ac:dyDescent="0.3"/>
    <row r="2" spans="1:28" ht="23.4" customHeight="1" x14ac:dyDescent="0.45">
      <c r="A2" s="23"/>
      <c r="B2" s="23"/>
      <c r="F2" s="7" t="s">
        <v>14</v>
      </c>
      <c r="T2" s="1"/>
      <c r="U2" s="1"/>
    </row>
    <row r="3" spans="1:28" ht="14.55" customHeight="1" x14ac:dyDescent="0.3">
      <c r="A3" s="23"/>
      <c r="B3" s="23"/>
      <c r="I3" s="2"/>
      <c r="W3" s="1"/>
      <c r="Y3" s="1"/>
    </row>
    <row r="4" spans="1:28" ht="15.6" x14ac:dyDescent="0.3">
      <c r="A4" s="23"/>
      <c r="B4" s="23"/>
      <c r="F4" s="3"/>
      <c r="I4" s="2"/>
      <c r="M4" s="3"/>
      <c r="Y4" s="1"/>
    </row>
    <row r="5" spans="1:28" ht="14.55" customHeight="1" x14ac:dyDescent="0.3">
      <c r="A5" s="23"/>
      <c r="B5" s="23"/>
      <c r="L5" s="32"/>
      <c r="M5" s="33"/>
      <c r="N5" s="33"/>
      <c r="Y5" s="1"/>
    </row>
    <row r="6" spans="1:28" s="4" customFormat="1" ht="21" x14ac:dyDescent="0.4">
      <c r="A6" s="23"/>
      <c r="B6" s="23"/>
      <c r="C6" s="15" t="s">
        <v>8</v>
      </c>
      <c r="D6" s="63" t="str">
        <f>'Print All Summary'!B6</f>
        <v>Avon Riding Centre</v>
      </c>
      <c r="E6" s="63"/>
      <c r="F6" s="14"/>
      <c r="G6" s="22" t="s">
        <v>9</v>
      </c>
      <c r="H6" s="65">
        <f>'Print All Summary'!F6</f>
        <v>46068</v>
      </c>
      <c r="I6" s="65"/>
      <c r="J6" s="14"/>
      <c r="K6" s="66" t="s">
        <v>15</v>
      </c>
      <c r="L6" s="66"/>
      <c r="M6" s="63" t="str">
        <f>'Print All Summary'!B7</f>
        <v>Wessex TREC</v>
      </c>
      <c r="N6" s="63"/>
      <c r="O6" s="63"/>
      <c r="P6" s="63"/>
      <c r="Q6" s="63"/>
      <c r="R6" s="63"/>
      <c r="S6" s="63"/>
      <c r="T6" s="63"/>
      <c r="U6" s="14"/>
      <c r="X6" s="1"/>
      <c r="Y6" s="1"/>
      <c r="Z6" s="1"/>
      <c r="AA6" s="1"/>
    </row>
    <row r="7" spans="1:28" s="4" customFormat="1" ht="30" customHeight="1" x14ac:dyDescent="0.4">
      <c r="A7" s="23"/>
      <c r="B7" s="23"/>
      <c r="C7" s="15" t="s">
        <v>16</v>
      </c>
      <c r="D7" s="64" t="s">
        <v>48</v>
      </c>
      <c r="E7" s="64"/>
      <c r="F7" s="14"/>
      <c r="H7" s="5"/>
      <c r="I7" s="5"/>
      <c r="J7" s="14"/>
      <c r="U7" s="14"/>
      <c r="X7" s="1"/>
      <c r="Y7" s="1"/>
      <c r="Z7" s="1"/>
      <c r="AA7" s="1"/>
    </row>
    <row r="8" spans="1:28" s="4" customFormat="1" ht="21" x14ac:dyDescent="0.4">
      <c r="A8" s="23"/>
      <c r="B8" s="23"/>
      <c r="C8" s="15"/>
      <c r="D8" s="15"/>
      <c r="E8" s="15"/>
      <c r="H8" s="5"/>
      <c r="I8" s="5"/>
      <c r="X8" s="5"/>
      <c r="Z8" s="5"/>
      <c r="AA8" s="5"/>
    </row>
    <row r="9" spans="1:28" ht="15.6" x14ac:dyDescent="0.3">
      <c r="F9" s="16"/>
      <c r="K9" s="16"/>
      <c r="L9" s="16"/>
      <c r="M9" s="16"/>
      <c r="N9" s="16"/>
      <c r="O9" s="16"/>
      <c r="P9" s="16"/>
      <c r="Q9" s="16"/>
    </row>
    <row r="10" spans="1:28" s="34" customFormat="1" ht="122.55" customHeight="1" x14ac:dyDescent="0.25">
      <c r="A10" s="28" t="s">
        <v>18</v>
      </c>
      <c r="B10" s="29" t="s">
        <v>19</v>
      </c>
      <c r="C10" s="19" t="s">
        <v>20</v>
      </c>
      <c r="D10" s="20" t="s">
        <v>21</v>
      </c>
      <c r="E10" s="20" t="s">
        <v>22</v>
      </c>
      <c r="F10" s="20" t="s">
        <v>23</v>
      </c>
      <c r="G10" s="21" t="s">
        <v>24</v>
      </c>
      <c r="H10" s="21" t="s">
        <v>25</v>
      </c>
      <c r="I10" s="21" t="s">
        <v>26</v>
      </c>
      <c r="J10" s="27" t="s">
        <v>45</v>
      </c>
      <c r="K10" s="26" t="s">
        <v>28</v>
      </c>
      <c r="L10" s="26" t="s">
        <v>29</v>
      </c>
      <c r="M10" s="26" t="s">
        <v>30</v>
      </c>
      <c r="N10" s="26" t="s">
        <v>31</v>
      </c>
      <c r="O10" s="26" t="s">
        <v>32</v>
      </c>
      <c r="P10" s="26" t="s">
        <v>33</v>
      </c>
      <c r="Q10" s="26" t="s">
        <v>34</v>
      </c>
      <c r="R10" s="26" t="s">
        <v>35</v>
      </c>
      <c r="S10" s="26" t="s">
        <v>36</v>
      </c>
      <c r="T10" s="26" t="s">
        <v>37</v>
      </c>
      <c r="U10" s="30" t="s">
        <v>56</v>
      </c>
      <c r="V10" s="24" t="s">
        <v>38</v>
      </c>
      <c r="W10" s="24" t="s">
        <v>39</v>
      </c>
      <c r="X10" s="25" t="s">
        <v>40</v>
      </c>
      <c r="Y10" s="24" t="s">
        <v>41</v>
      </c>
      <c r="Z10" s="24" t="s">
        <v>42</v>
      </c>
      <c r="AA10" s="25" t="s">
        <v>43</v>
      </c>
      <c r="AB10" s="39" t="s">
        <v>13</v>
      </c>
    </row>
    <row r="11" spans="1:28" s="35" customFormat="1" x14ac:dyDescent="0.3">
      <c r="A11" s="17"/>
      <c r="B11" s="17"/>
      <c r="C11" s="17" t="s">
        <v>79</v>
      </c>
      <c r="D11" s="17"/>
      <c r="E11" s="17"/>
      <c r="F11" s="17" t="s">
        <v>80</v>
      </c>
      <c r="G11" s="17">
        <f>IF(H11="E","E",(IF(C11="","",_xlfn.RANK.EQ($H11,$H$11:$H$35)+COUNTIFS($H$11:$H$35,$H11,$J$11:$J$35,"&gt;"&amp;$J11))))</f>
        <v>5</v>
      </c>
      <c r="H11" s="52">
        <f>IF(Newc[[#This Row],[RIDER]]="","",IF((COUNTIF(J11, "E")), "E", (SUM(J11+I11))))</f>
        <v>57</v>
      </c>
      <c r="I11" s="52">
        <f>IF(Newc[[#This Row],[RIDER]]="","",SUM(X11,AA11))</f>
        <v>0</v>
      </c>
      <c r="J11" s="42">
        <f>IF(Newc[[#This Row],[RIDER]]="","",IF(COUNTIF(K11:T11, "E"), "E", (SUM(K11:T11)-U11)))</f>
        <v>57</v>
      </c>
      <c r="K11" s="17">
        <v>7</v>
      </c>
      <c r="L11" s="17">
        <v>10</v>
      </c>
      <c r="M11" s="17">
        <v>0</v>
      </c>
      <c r="N11" s="17">
        <v>0</v>
      </c>
      <c r="O11" s="17">
        <v>7</v>
      </c>
      <c r="P11" s="17">
        <v>6</v>
      </c>
      <c r="Q11" s="17">
        <v>10</v>
      </c>
      <c r="R11" s="17">
        <v>0</v>
      </c>
      <c r="S11" s="17">
        <v>10</v>
      </c>
      <c r="T11" s="17">
        <v>7</v>
      </c>
      <c r="U11" s="17">
        <v>0</v>
      </c>
      <c r="V11" s="17">
        <v>16.5</v>
      </c>
      <c r="W11" s="17" t="s">
        <v>122</v>
      </c>
      <c r="X11" s="18">
        <f>IF(C11="","",IF(OR(Newc[[#This Row],[Outside/Broke (O/B)]]="O",Newc[[#This Row],[Outside/Broke (O/B)]]="B"),0,VLOOKUP((V11/MAlength*150),CanterScore,2,TRUE)))</f>
        <v>0</v>
      </c>
      <c r="Y11" s="17">
        <v>48.3</v>
      </c>
      <c r="Z11" s="17"/>
      <c r="AA11" s="18">
        <f>IF(C11="","",IF(OR(Newc[[#This Row],[Outside/Broke (O/B)2]]="O",Newc[[#This Row],[Outside/Broke (O/B)2]]="B"),0,IF((Y11/MAlength*150)=0, 0,IF((Y11/MAlength*150)&lt;'MA calc'!$A$4, 15, VLOOKUP((Y11/MAlength*150),WalkScore,2,TRUE)))))</f>
        <v>0</v>
      </c>
      <c r="AB11" s="17"/>
    </row>
    <row r="12" spans="1:28" s="35" customFormat="1" x14ac:dyDescent="0.3">
      <c r="A12" s="17"/>
      <c r="B12" s="17"/>
      <c r="C12" s="17" t="s">
        <v>83</v>
      </c>
      <c r="D12" s="17" t="s">
        <v>82</v>
      </c>
      <c r="E12" s="17"/>
      <c r="F12" s="17" t="s">
        <v>81</v>
      </c>
      <c r="G12" s="17">
        <f t="shared" ref="G12:G35" si="0">IF(H12="E","E",(IF(C12="","",_xlfn.RANK.EQ($H12,$H$11:$H$35)+COUNTIFS($H$11:$H$35,$H12,$J$11:$J$35,"&gt;"&amp;$J12))))</f>
        <v>1</v>
      </c>
      <c r="H12" s="52">
        <f>IF(Newc[[#This Row],[RIDER]]="","",IF((COUNTIF(J12, "E")), "E", (SUM(J12+I12))))</f>
        <v>94</v>
      </c>
      <c r="I12" s="52">
        <f>IF(Newc[[#This Row],[RIDER]]="","",SUM(X12,AA12))</f>
        <v>0</v>
      </c>
      <c r="J12" s="42">
        <f>IF(Newc[[#This Row],[RIDER]]="","",IF(COUNTIF(K12:T12, "E"), "E", (SUM(K12:T12)-U12)))</f>
        <v>94</v>
      </c>
      <c r="K12" s="17">
        <v>10</v>
      </c>
      <c r="L12" s="17">
        <v>10</v>
      </c>
      <c r="M12" s="17">
        <v>10</v>
      </c>
      <c r="N12" s="17">
        <v>10</v>
      </c>
      <c r="O12" s="17">
        <v>6</v>
      </c>
      <c r="P12" s="17">
        <v>9</v>
      </c>
      <c r="Q12" s="17">
        <v>9</v>
      </c>
      <c r="R12" s="17">
        <v>10</v>
      </c>
      <c r="S12" s="17">
        <v>10</v>
      </c>
      <c r="T12" s="17">
        <v>10</v>
      </c>
      <c r="U12" s="17">
        <v>0</v>
      </c>
      <c r="V12" s="17">
        <v>21.4</v>
      </c>
      <c r="W12" s="17" t="s">
        <v>122</v>
      </c>
      <c r="X12" s="18">
        <f>IF(C12="","",IF(OR(Newc[[#This Row],[Outside/Broke (O/B)]]="O",Newc[[#This Row],[Outside/Broke (O/B)]]="B"),0,VLOOKUP((V12/MAlength*150),CanterScore,2,TRUE)))</f>
        <v>0</v>
      </c>
      <c r="Y12" s="17">
        <v>60.4</v>
      </c>
      <c r="Z12" s="17"/>
      <c r="AA12" s="18">
        <f>IF(C12="","",IF(OR(Newc[[#This Row],[Outside/Broke (O/B)2]]="O",Newc[[#This Row],[Outside/Broke (O/B)2]]="B"),0,IF((Y12/MAlength*150)=0, 0,IF((Y12/MAlength*150)&lt;'MA calc'!$A$4, 15, VLOOKUP((Y12/MAlength*150),WalkScore,2,TRUE)))))</f>
        <v>0</v>
      </c>
      <c r="AB12" s="17"/>
    </row>
    <row r="13" spans="1:28" s="35" customFormat="1" x14ac:dyDescent="0.3">
      <c r="A13" s="17"/>
      <c r="B13" s="17"/>
      <c r="C13" s="17" t="s">
        <v>62</v>
      </c>
      <c r="D13" s="17" t="s">
        <v>63</v>
      </c>
      <c r="E13" s="17"/>
      <c r="F13" s="17" t="s">
        <v>64</v>
      </c>
      <c r="G13" s="17">
        <f t="shared" si="0"/>
        <v>7</v>
      </c>
      <c r="H13" s="52">
        <f>IF(Newc[[#This Row],[RIDER]]="","",IF((COUNTIF(J13, "E")), "E", (SUM(J13+I13))))</f>
        <v>13</v>
      </c>
      <c r="I13" s="52">
        <f>IF(Newc[[#This Row],[RIDER]]="","",SUM(X13,AA13))</f>
        <v>0</v>
      </c>
      <c r="J13" s="42">
        <f>IF(Newc[[#This Row],[RIDER]]="","",IF(COUNTIF(K13:T13, "E"), "E", (SUM(K13:T13)-U13)))</f>
        <v>13</v>
      </c>
      <c r="K13" s="17">
        <v>5</v>
      </c>
      <c r="L13" s="17">
        <v>0</v>
      </c>
      <c r="M13" s="17">
        <v>8</v>
      </c>
      <c r="N13" s="17">
        <v>0</v>
      </c>
      <c r="O13" s="17">
        <v>0</v>
      </c>
      <c r="P13" s="17">
        <v>0</v>
      </c>
      <c r="Q13" s="17">
        <v>0</v>
      </c>
      <c r="R13" s="17">
        <v>0</v>
      </c>
      <c r="S13" s="17">
        <v>0</v>
      </c>
      <c r="T13" s="17">
        <v>0</v>
      </c>
      <c r="U13" s="17">
        <v>0</v>
      </c>
      <c r="V13" s="17">
        <v>0</v>
      </c>
      <c r="W13" s="17" t="s">
        <v>122</v>
      </c>
      <c r="X13" s="18">
        <f>IF(C13="","",IF(OR(Newc[[#This Row],[Outside/Broke (O/B)]]="O",Newc[[#This Row],[Outside/Broke (O/B)]]="B"),0,VLOOKUP((V13/MAlength*150),CanterScore,2,TRUE)))</f>
        <v>0</v>
      </c>
      <c r="Y13" s="17">
        <v>0</v>
      </c>
      <c r="Z13" s="17" t="s">
        <v>122</v>
      </c>
      <c r="AA13" s="18">
        <f>IF(C13="","",IF(OR(Newc[[#This Row],[Outside/Broke (O/B)2]]="O",Newc[[#This Row],[Outside/Broke (O/B)2]]="B"),0,IF((Y13/MAlength*150)=0, 0,IF((Y13/MAlength*150)&lt;'MA calc'!$A$4, 15, VLOOKUP((Y13/MAlength*150),WalkScore,2,TRUE)))))</f>
        <v>0</v>
      </c>
      <c r="AB13" s="17"/>
    </row>
    <row r="14" spans="1:28" s="35" customFormat="1" x14ac:dyDescent="0.3">
      <c r="A14" s="17"/>
      <c r="B14" s="17"/>
      <c r="C14" s="17" t="s">
        <v>84</v>
      </c>
      <c r="D14" s="17"/>
      <c r="E14" s="17"/>
      <c r="F14" s="17" t="s">
        <v>85</v>
      </c>
      <c r="G14" s="17">
        <f t="shared" si="0"/>
        <v>3</v>
      </c>
      <c r="H14" s="52">
        <f>IF(Newc[[#This Row],[RIDER]]="","",IF((COUNTIF(J14, "E")), "E", (SUM(J14+I14))))</f>
        <v>77.5</v>
      </c>
      <c r="I14" s="52">
        <f>IF(Newc[[#This Row],[RIDER]]="","",SUM(X14,AA14))</f>
        <v>5.5</v>
      </c>
      <c r="J14" s="42">
        <f>IF(Newc[[#This Row],[RIDER]]="","",IF(COUNTIF(K14:T14, "E"), "E", (SUM(K14:T14)-U14)))</f>
        <v>72</v>
      </c>
      <c r="K14" s="17">
        <v>5</v>
      </c>
      <c r="L14" s="17">
        <v>10</v>
      </c>
      <c r="M14" s="17">
        <v>9</v>
      </c>
      <c r="N14" s="17">
        <v>0</v>
      </c>
      <c r="O14" s="17">
        <v>7</v>
      </c>
      <c r="P14" s="17">
        <v>6</v>
      </c>
      <c r="Q14" s="17">
        <v>8</v>
      </c>
      <c r="R14" s="17">
        <v>10</v>
      </c>
      <c r="S14" s="17">
        <v>8</v>
      </c>
      <c r="T14" s="17">
        <v>9</v>
      </c>
      <c r="U14" s="17">
        <v>0</v>
      </c>
      <c r="V14" s="17">
        <v>20.2</v>
      </c>
      <c r="W14" s="17" t="s">
        <v>122</v>
      </c>
      <c r="X14" s="18">
        <f>IF(C14="","",IF(OR(Newc[[#This Row],[Outside/Broke (O/B)]]="O",Newc[[#This Row],[Outside/Broke (O/B)]]="B"),0,VLOOKUP((V14/MAlength*150),CanterScore,2,TRUE)))</f>
        <v>0</v>
      </c>
      <c r="Y14" s="17">
        <v>43.4</v>
      </c>
      <c r="Z14" s="17"/>
      <c r="AA14" s="18">
        <f>IF(C14="","",IF(OR(Newc[[#This Row],[Outside/Broke (O/B)2]]="O",Newc[[#This Row],[Outside/Broke (O/B)2]]="B"),0,IF((Y14/MAlength*150)=0, 0,IF((Y14/MAlength*150)&lt;'MA calc'!$A$4, 15, VLOOKUP((Y14/MAlength*150),WalkScore,2,TRUE)))))</f>
        <v>5.5</v>
      </c>
      <c r="AB14" s="17"/>
    </row>
    <row r="15" spans="1:28" s="35" customFormat="1" x14ac:dyDescent="0.3">
      <c r="A15" s="17"/>
      <c r="B15" s="17"/>
      <c r="C15" s="17" t="s">
        <v>67</v>
      </c>
      <c r="D15" s="17" t="s">
        <v>68</v>
      </c>
      <c r="E15" s="17"/>
      <c r="F15" s="17" t="s">
        <v>69</v>
      </c>
      <c r="G15" s="17">
        <f t="shared" si="0"/>
        <v>6</v>
      </c>
      <c r="H15" s="52">
        <f>IF(Newc[[#This Row],[RIDER]]="","",IF((COUNTIF(J15, "E")), "E", (SUM(J15+I15))))</f>
        <v>52</v>
      </c>
      <c r="I15" s="52">
        <f>IF(Newc[[#This Row],[RIDER]]="","",SUM(X15,AA15))</f>
        <v>0</v>
      </c>
      <c r="J15" s="42">
        <f>IF(Newc[[#This Row],[RIDER]]="","",IF(COUNTIF(K15:T15, "E"), "E", (SUM(K15:T15)-U15)))</f>
        <v>52</v>
      </c>
      <c r="K15" s="17">
        <v>5</v>
      </c>
      <c r="L15" s="17">
        <v>0</v>
      </c>
      <c r="M15" s="17">
        <v>8</v>
      </c>
      <c r="N15" s="17">
        <v>4</v>
      </c>
      <c r="O15" s="17">
        <v>7</v>
      </c>
      <c r="P15" s="17">
        <v>10</v>
      </c>
      <c r="Q15" s="17">
        <v>9</v>
      </c>
      <c r="R15" s="17">
        <v>0</v>
      </c>
      <c r="S15" s="17">
        <v>9</v>
      </c>
      <c r="T15" s="17">
        <v>0</v>
      </c>
      <c r="U15" s="17">
        <v>0</v>
      </c>
      <c r="V15" s="17">
        <v>27</v>
      </c>
      <c r="W15" s="17" t="s">
        <v>122</v>
      </c>
      <c r="X15" s="18">
        <f>IF(C15="","",IF(OR(Newc[[#This Row],[Outside/Broke (O/B)]]="O",Newc[[#This Row],[Outside/Broke (O/B)]]="B"),0,VLOOKUP((V15/MAlength*150),CanterScore,2,TRUE)))</f>
        <v>0</v>
      </c>
      <c r="Y15" s="17">
        <v>55.5</v>
      </c>
      <c r="Z15" s="17"/>
      <c r="AA15" s="18">
        <f>IF(C15="","",IF(OR(Newc[[#This Row],[Outside/Broke (O/B)2]]="O",Newc[[#This Row],[Outside/Broke (O/B)2]]="B"),0,IF((Y15/MAlength*150)=0, 0,IF((Y15/MAlength*150)&lt;'MA calc'!$A$4, 15, VLOOKUP((Y15/MAlength*150),WalkScore,2,TRUE)))))</f>
        <v>0</v>
      </c>
      <c r="AB15" s="17"/>
    </row>
    <row r="16" spans="1:28" s="35" customFormat="1" x14ac:dyDescent="0.3">
      <c r="A16" s="17"/>
      <c r="B16" s="17"/>
      <c r="C16" s="17" t="s">
        <v>70</v>
      </c>
      <c r="D16" s="17" t="s">
        <v>71</v>
      </c>
      <c r="E16" s="17"/>
      <c r="F16" s="17" t="s">
        <v>72</v>
      </c>
      <c r="G16" s="17">
        <f t="shared" si="0"/>
        <v>4</v>
      </c>
      <c r="H16" s="52">
        <f>IF(Newc[[#This Row],[RIDER]]="","",IF((COUNTIF(J16, "E")), "E", (SUM(J16+I16))))</f>
        <v>69</v>
      </c>
      <c r="I16" s="52">
        <f>IF(Newc[[#This Row],[RIDER]]="","",SUM(X16,AA16))</f>
        <v>0</v>
      </c>
      <c r="J16" s="42">
        <f>IF(Newc[[#This Row],[RIDER]]="","",IF(COUNTIF(K16:T16, "E"), "E", (SUM(K16:T16)-U16)))</f>
        <v>69</v>
      </c>
      <c r="K16" s="17">
        <v>7</v>
      </c>
      <c r="L16" s="17">
        <v>4</v>
      </c>
      <c r="M16" s="17">
        <v>9</v>
      </c>
      <c r="N16" s="17">
        <v>6</v>
      </c>
      <c r="O16" s="17">
        <v>7</v>
      </c>
      <c r="P16" s="17">
        <v>10</v>
      </c>
      <c r="Q16" s="17">
        <v>10</v>
      </c>
      <c r="R16" s="17">
        <v>6</v>
      </c>
      <c r="S16" s="17">
        <v>10</v>
      </c>
      <c r="T16" s="17">
        <v>0</v>
      </c>
      <c r="U16" s="17">
        <v>0</v>
      </c>
      <c r="V16" s="17">
        <v>22.1</v>
      </c>
      <c r="W16" s="17" t="s">
        <v>122</v>
      </c>
      <c r="X16" s="18">
        <f>IF(C16="","",IF(OR(Newc[[#This Row],[Outside/Broke (O/B)]]="O",Newc[[#This Row],[Outside/Broke (O/B)]]="B"),0,VLOOKUP((V16/MAlength*150),CanterScore,2,TRUE)))</f>
        <v>0</v>
      </c>
      <c r="Y16" s="17">
        <v>57.5</v>
      </c>
      <c r="Z16" s="17"/>
      <c r="AA16" s="18">
        <f>IF(C16="","",IF(OR(Newc[[#This Row],[Outside/Broke (O/B)2]]="O",Newc[[#This Row],[Outside/Broke (O/B)2]]="B"),0,IF((Y16/MAlength*150)=0, 0,IF((Y16/MAlength*150)&lt;'MA calc'!$A$4, 15, VLOOKUP((Y16/MAlength*150),WalkScore,2,TRUE)))))</f>
        <v>0</v>
      </c>
      <c r="AB16" s="17"/>
    </row>
    <row r="17" spans="1:28" s="35" customFormat="1" x14ac:dyDescent="0.3">
      <c r="A17" s="17"/>
      <c r="B17" s="17"/>
      <c r="C17" s="17" t="s">
        <v>73</v>
      </c>
      <c r="D17" s="17" t="s">
        <v>74</v>
      </c>
      <c r="E17" s="17"/>
      <c r="F17" s="17" t="s">
        <v>75</v>
      </c>
      <c r="G17" s="17">
        <f t="shared" si="0"/>
        <v>2</v>
      </c>
      <c r="H17" s="52">
        <f>IF(Newc[[#This Row],[RIDER]]="","",IF((COUNTIF(J17, "E")), "E", (SUM(J17+I17))))</f>
        <v>87.5</v>
      </c>
      <c r="I17" s="52">
        <f>IF(Newc[[#This Row],[RIDER]]="","",SUM(X17,AA17))</f>
        <v>3.5</v>
      </c>
      <c r="J17" s="42">
        <f>IF(Newc[[#This Row],[RIDER]]="","",IF(COUNTIF(K17:T17, "E"), "E", (SUM(K17:T17)-U17)))</f>
        <v>84</v>
      </c>
      <c r="K17" s="17">
        <v>5</v>
      </c>
      <c r="L17" s="17">
        <v>8</v>
      </c>
      <c r="M17" s="17">
        <v>10</v>
      </c>
      <c r="N17" s="17">
        <v>8</v>
      </c>
      <c r="O17" s="17">
        <v>7</v>
      </c>
      <c r="P17" s="17">
        <v>10</v>
      </c>
      <c r="Q17" s="17">
        <v>10</v>
      </c>
      <c r="R17" s="17">
        <v>8</v>
      </c>
      <c r="S17" s="17">
        <v>9</v>
      </c>
      <c r="T17" s="17">
        <v>9</v>
      </c>
      <c r="U17" s="17">
        <v>0</v>
      </c>
      <c r="V17" s="17">
        <v>15.2</v>
      </c>
      <c r="W17" s="17"/>
      <c r="X17" s="18">
        <f>IF(C17="","",IF(OR(Newc[[#This Row],[Outside/Broke (O/B)]]="O",Newc[[#This Row],[Outside/Broke (O/B)]]="B"),0,VLOOKUP((V17/MAlength*150),CanterScore,2,TRUE)))</f>
        <v>3.5</v>
      </c>
      <c r="Y17" s="17">
        <v>41.3</v>
      </c>
      <c r="Z17" s="17" t="s">
        <v>122</v>
      </c>
      <c r="AA17" s="18">
        <f>IF(C17="","",IF(OR(Newc[[#This Row],[Outside/Broke (O/B)2]]="O",Newc[[#This Row],[Outside/Broke (O/B)2]]="B"),0,IF((Y17/MAlength*150)=0, 0,IF((Y17/MAlength*150)&lt;'MA calc'!$A$4, 15, VLOOKUP((Y17/MAlength*150),WalkScore,2,TRUE)))))</f>
        <v>0</v>
      </c>
      <c r="AB17" s="17"/>
    </row>
    <row r="18" spans="1:28" s="35" customFormat="1" x14ac:dyDescent="0.3">
      <c r="A18" s="17"/>
      <c r="B18" s="17"/>
      <c r="C18" s="17" t="s">
        <v>86</v>
      </c>
      <c r="D18" s="17"/>
      <c r="E18" s="17"/>
      <c r="F18" s="17" t="s">
        <v>87</v>
      </c>
      <c r="G18" s="17">
        <f t="shared" si="0"/>
        <v>8</v>
      </c>
      <c r="H18" s="52">
        <f>IF(Newc[[#This Row],[RIDER]]="","",IF((COUNTIF(J18, "E")), "E", (SUM(J18+I18))))</f>
        <v>7</v>
      </c>
      <c r="I18" s="52">
        <f>IF(Newc[[#This Row],[RIDER]]="","",SUM(X18,AA18))</f>
        <v>0</v>
      </c>
      <c r="J18" s="42">
        <f>IF(Newc[[#This Row],[RIDER]]="","",IF(COUNTIF(K18:T18, "E"), "E", (SUM(K18:T18)-U18)))</f>
        <v>7</v>
      </c>
      <c r="K18" s="17">
        <v>7</v>
      </c>
      <c r="L18" s="17">
        <v>0</v>
      </c>
      <c r="M18" s="17">
        <v>0</v>
      </c>
      <c r="N18" s="17">
        <v>0</v>
      </c>
      <c r="O18" s="17">
        <v>0</v>
      </c>
      <c r="P18" s="17">
        <v>0</v>
      </c>
      <c r="Q18" s="17">
        <v>0</v>
      </c>
      <c r="R18" s="17">
        <v>0</v>
      </c>
      <c r="S18" s="17">
        <v>0</v>
      </c>
      <c r="T18" s="17">
        <v>0</v>
      </c>
      <c r="U18" s="17">
        <v>0</v>
      </c>
      <c r="V18" s="17"/>
      <c r="W18" s="17" t="s">
        <v>122</v>
      </c>
      <c r="X18" s="18">
        <f>IF(C18="","",IF(OR(Newc[[#This Row],[Outside/Broke (O/B)]]="O",Newc[[#This Row],[Outside/Broke (O/B)]]="B"),0,VLOOKUP((V18/MAlength*150),CanterScore,2,TRUE)))</f>
        <v>0</v>
      </c>
      <c r="Y18" s="17">
        <v>55.4</v>
      </c>
      <c r="Z18" s="17"/>
      <c r="AA18" s="18">
        <f>IF(C18="","",IF(OR(Newc[[#This Row],[Outside/Broke (O/B)2]]="O",Newc[[#This Row],[Outside/Broke (O/B)2]]="B"),0,IF((Y18/MAlength*150)=0, 0,IF((Y18/MAlength*150)&lt;'MA calc'!$A$4, 15, VLOOKUP((Y18/MAlength*150),WalkScore,2,TRUE)))))</f>
        <v>0</v>
      </c>
      <c r="AB18" s="17"/>
    </row>
    <row r="19" spans="1:28" s="35" customFormat="1" x14ac:dyDescent="0.3">
      <c r="A19" s="17"/>
      <c r="B19" s="17"/>
      <c r="C19" s="17"/>
      <c r="D19" s="17"/>
      <c r="E19" s="17"/>
      <c r="F19" s="17"/>
      <c r="G19" s="17" t="str">
        <f t="shared" si="0"/>
        <v/>
      </c>
      <c r="H19" s="52" t="str">
        <f>IF(Newc[[#This Row],[RIDER]]="","",IF((COUNTIF(J19, "E")), "E", (SUM(J19+I19))))</f>
        <v/>
      </c>
      <c r="I19" s="52" t="str">
        <f>IF(Newc[[#This Row],[RIDER]]="","",SUM(X19,AA19))</f>
        <v/>
      </c>
      <c r="J19" s="42" t="str">
        <f>IF(Newc[[#This Row],[RIDER]]="","",IF(COUNTIF(K19:T19, "E"), "E", (SUM(K19:T19)-U19)))</f>
        <v/>
      </c>
      <c r="K19" s="17">
        <v>0</v>
      </c>
      <c r="L19" s="17">
        <v>0</v>
      </c>
      <c r="M19" s="17">
        <v>0</v>
      </c>
      <c r="N19" s="17">
        <v>0</v>
      </c>
      <c r="O19" s="17">
        <v>0</v>
      </c>
      <c r="P19" s="17">
        <v>0</v>
      </c>
      <c r="Q19" s="17">
        <v>0</v>
      </c>
      <c r="R19" s="17">
        <v>0</v>
      </c>
      <c r="S19" s="17">
        <v>0</v>
      </c>
      <c r="T19" s="17">
        <v>0</v>
      </c>
      <c r="U19" s="17">
        <v>0</v>
      </c>
      <c r="V19" s="17"/>
      <c r="W19" s="17"/>
      <c r="X19" s="18" t="str">
        <f>IF(C19="","",IF(OR(Newc[[#This Row],[Outside/Broke (O/B)]]="O",Newc[[#This Row],[Outside/Broke (O/B)]]="B"),0,VLOOKUP((V19/MAlength*150),CanterScore,2,TRUE)))</f>
        <v/>
      </c>
      <c r="Y19" s="17"/>
      <c r="Z19" s="17"/>
      <c r="AA19" s="18" t="str">
        <f>IF(C19="","",IF(OR(Newc[[#This Row],[Outside/Broke (O/B)2]]="O",Newc[[#This Row],[Outside/Broke (O/B)2]]="B"),0,IF((Y19/MAlength*150)=0, 0,IF((Y19/MAlength*150)&lt;'MA calc'!$A$4, 15, VLOOKUP((Y19/MAlength*150),WalkScore,2,TRUE)))))</f>
        <v/>
      </c>
      <c r="AB19" s="17"/>
    </row>
    <row r="20" spans="1:28" s="35" customFormat="1" x14ac:dyDescent="0.3">
      <c r="A20" s="17"/>
      <c r="B20" s="17"/>
      <c r="C20" s="17"/>
      <c r="D20" s="17"/>
      <c r="E20" s="17"/>
      <c r="F20" s="17"/>
      <c r="G20" s="17" t="str">
        <f t="shared" si="0"/>
        <v/>
      </c>
      <c r="H20" s="52" t="str">
        <f>IF(Newc[[#This Row],[RIDER]]="","",IF((COUNTIF(J20, "E")), "E", (SUM(J20+I20))))</f>
        <v/>
      </c>
      <c r="I20" s="52" t="str">
        <f>IF(Newc[[#This Row],[RIDER]]="","",SUM(X20,AA20))</f>
        <v/>
      </c>
      <c r="J20" s="42" t="str">
        <f>IF(Newc[[#This Row],[RIDER]]="","",IF(COUNTIF(K20:T20, "E"), "E", (SUM(K20:T20)-U20)))</f>
        <v/>
      </c>
      <c r="K20" s="17">
        <v>0</v>
      </c>
      <c r="L20" s="17">
        <v>0</v>
      </c>
      <c r="M20" s="17">
        <v>0</v>
      </c>
      <c r="N20" s="17">
        <v>0</v>
      </c>
      <c r="O20" s="17">
        <v>0</v>
      </c>
      <c r="P20" s="17">
        <v>0</v>
      </c>
      <c r="Q20" s="17">
        <v>0</v>
      </c>
      <c r="R20" s="17">
        <v>0</v>
      </c>
      <c r="S20" s="17">
        <v>0</v>
      </c>
      <c r="T20" s="17">
        <v>0</v>
      </c>
      <c r="U20" s="17">
        <v>0</v>
      </c>
      <c r="V20" s="17"/>
      <c r="W20" s="17"/>
      <c r="X20" s="18" t="str">
        <f>IF(C20="","",IF(OR(Newc[[#This Row],[Outside/Broke (O/B)]]="O",Newc[[#This Row],[Outside/Broke (O/B)]]="B"),0,VLOOKUP((V20/MAlength*150),CanterScore,2,TRUE)))</f>
        <v/>
      </c>
      <c r="Y20" s="17"/>
      <c r="Z20" s="17"/>
      <c r="AA20" s="18" t="str">
        <f>IF(C20="","",IF(OR(Newc[[#This Row],[Outside/Broke (O/B)2]]="O",Newc[[#This Row],[Outside/Broke (O/B)2]]="B"),0,IF((Y20/MAlength*150)=0, 0,IF((Y20/MAlength*150)&lt;'MA calc'!$A$4, 15, VLOOKUP((Y20/MAlength*150),WalkScore,2,TRUE)))))</f>
        <v/>
      </c>
      <c r="AB20" s="17"/>
    </row>
    <row r="21" spans="1:28" s="35" customFormat="1" x14ac:dyDescent="0.3">
      <c r="A21" s="17"/>
      <c r="B21" s="17"/>
      <c r="C21" s="17"/>
      <c r="D21" s="17"/>
      <c r="E21" s="17"/>
      <c r="F21" s="17"/>
      <c r="G21" s="17" t="str">
        <f t="shared" si="0"/>
        <v/>
      </c>
      <c r="H21" s="52" t="str">
        <f>IF(Newc[[#This Row],[RIDER]]="","",IF((COUNTIF(J21, "E")), "E", (SUM(J21+I21))))</f>
        <v/>
      </c>
      <c r="I21" s="52" t="str">
        <f>IF(Newc[[#This Row],[RIDER]]="","",SUM(X21,AA21))</f>
        <v/>
      </c>
      <c r="J21" s="42" t="str">
        <f>IF(Newc[[#This Row],[RIDER]]="","",IF(COUNTIF(K21:T21, "E"), "E", (SUM(K21:T21)-U21)))</f>
        <v/>
      </c>
      <c r="K21" s="17">
        <v>0</v>
      </c>
      <c r="L21" s="17">
        <v>0</v>
      </c>
      <c r="M21" s="17">
        <v>0</v>
      </c>
      <c r="N21" s="17">
        <v>0</v>
      </c>
      <c r="O21" s="17">
        <v>0</v>
      </c>
      <c r="P21" s="17">
        <v>0</v>
      </c>
      <c r="Q21" s="17">
        <v>0</v>
      </c>
      <c r="R21" s="17">
        <v>0</v>
      </c>
      <c r="S21" s="17">
        <v>0</v>
      </c>
      <c r="T21" s="17">
        <v>0</v>
      </c>
      <c r="U21" s="17">
        <v>0</v>
      </c>
      <c r="V21" s="17"/>
      <c r="W21" s="17"/>
      <c r="X21" s="18" t="str">
        <f>IF(C21="","",IF(OR(Newc[[#This Row],[Outside/Broke (O/B)]]="O",Newc[[#This Row],[Outside/Broke (O/B)]]="B"),0,VLOOKUP((V21/MAlength*150),CanterScore,2,TRUE)))</f>
        <v/>
      </c>
      <c r="Y21" s="17"/>
      <c r="Z21" s="17"/>
      <c r="AA21" s="18" t="str">
        <f>IF(C21="","",IF(OR(Newc[[#This Row],[Outside/Broke (O/B)2]]="O",Newc[[#This Row],[Outside/Broke (O/B)2]]="B"),0,IF((Y21/MAlength*150)=0, 0,IF((Y21/MAlength*150)&lt;'MA calc'!$A$4, 15, VLOOKUP((Y21/MAlength*150),WalkScore,2,TRUE)))))</f>
        <v/>
      </c>
      <c r="AB21" s="17"/>
    </row>
    <row r="22" spans="1:28" s="35" customFormat="1" x14ac:dyDescent="0.3">
      <c r="A22" s="17"/>
      <c r="B22" s="17"/>
      <c r="C22" s="17"/>
      <c r="D22" s="17"/>
      <c r="E22" s="17"/>
      <c r="F22" s="17"/>
      <c r="G22" s="17" t="str">
        <f t="shared" si="0"/>
        <v/>
      </c>
      <c r="H22" s="52" t="str">
        <f>IF(Newc[[#This Row],[RIDER]]="","",IF((COUNTIF(J22, "E")), "E", (SUM(J22+I22))))</f>
        <v/>
      </c>
      <c r="I22" s="52" t="str">
        <f>IF(Newc[[#This Row],[RIDER]]="","",SUM(X22,AA22))</f>
        <v/>
      </c>
      <c r="J22" s="42" t="str">
        <f>IF(Newc[[#This Row],[RIDER]]="","",IF(COUNTIF(K22:T22, "E"), "E", (SUM(K22:T22)-U22)))</f>
        <v/>
      </c>
      <c r="K22" s="17">
        <v>0</v>
      </c>
      <c r="L22" s="17">
        <v>0</v>
      </c>
      <c r="M22" s="17">
        <v>0</v>
      </c>
      <c r="N22" s="17">
        <v>0</v>
      </c>
      <c r="O22" s="17">
        <v>0</v>
      </c>
      <c r="P22" s="17">
        <v>0</v>
      </c>
      <c r="Q22" s="17">
        <v>0</v>
      </c>
      <c r="R22" s="17">
        <v>0</v>
      </c>
      <c r="S22" s="17">
        <v>0</v>
      </c>
      <c r="T22" s="17">
        <v>0</v>
      </c>
      <c r="U22" s="17">
        <v>0</v>
      </c>
      <c r="V22" s="17"/>
      <c r="W22" s="17"/>
      <c r="X22" s="18" t="str">
        <f>IF(C22="","",IF(OR(Newc[[#This Row],[Outside/Broke (O/B)]]="O",Newc[[#This Row],[Outside/Broke (O/B)]]="B"),0,VLOOKUP((V22/MAlength*150),CanterScore,2,TRUE)))</f>
        <v/>
      </c>
      <c r="Y22" s="17"/>
      <c r="Z22" s="17"/>
      <c r="AA22" s="18" t="str">
        <f>IF(C22="","",IF(OR(Newc[[#This Row],[Outside/Broke (O/B)2]]="O",Newc[[#This Row],[Outside/Broke (O/B)2]]="B"),0,IF((Y22/MAlength*150)=0, 0,IF((Y22/MAlength*150)&lt;'MA calc'!$A$4, 15, VLOOKUP((Y22/MAlength*150),WalkScore,2,TRUE)))))</f>
        <v/>
      </c>
      <c r="AB22" s="17"/>
    </row>
    <row r="23" spans="1:28" s="35" customFormat="1" x14ac:dyDescent="0.3">
      <c r="A23" s="17"/>
      <c r="B23" s="17"/>
      <c r="C23" s="17"/>
      <c r="D23" s="17"/>
      <c r="E23" s="17"/>
      <c r="F23" s="17"/>
      <c r="G23" s="17" t="str">
        <f t="shared" si="0"/>
        <v/>
      </c>
      <c r="H23" s="52" t="str">
        <f>IF(Newc[[#This Row],[RIDER]]="","",IF((COUNTIF(J23, "E")), "E", (SUM(J23+I23))))</f>
        <v/>
      </c>
      <c r="I23" s="52" t="str">
        <f>IF(Newc[[#This Row],[RIDER]]="","",SUM(X23,AA23))</f>
        <v/>
      </c>
      <c r="J23" s="42" t="str">
        <f>IF(Newc[[#This Row],[RIDER]]="","",IF(COUNTIF(K23:T23, "E"), "E", (SUM(K23:T23)-U23)))</f>
        <v/>
      </c>
      <c r="K23" s="17">
        <v>0</v>
      </c>
      <c r="L23" s="17">
        <v>0</v>
      </c>
      <c r="M23" s="17">
        <v>0</v>
      </c>
      <c r="N23" s="17">
        <v>0</v>
      </c>
      <c r="O23" s="17">
        <v>0</v>
      </c>
      <c r="P23" s="17">
        <v>0</v>
      </c>
      <c r="Q23" s="17">
        <v>0</v>
      </c>
      <c r="R23" s="17">
        <v>0</v>
      </c>
      <c r="S23" s="17">
        <v>0</v>
      </c>
      <c r="T23" s="17">
        <v>0</v>
      </c>
      <c r="U23" s="17">
        <v>0</v>
      </c>
      <c r="V23" s="17"/>
      <c r="W23" s="17"/>
      <c r="X23" s="18" t="str">
        <f>IF(C23="","",IF(OR(Newc[[#This Row],[Outside/Broke (O/B)]]="O",Newc[[#This Row],[Outside/Broke (O/B)]]="B"),0,VLOOKUP((V23/MAlength*150),CanterScore,2,TRUE)))</f>
        <v/>
      </c>
      <c r="Y23" s="17"/>
      <c r="Z23" s="17"/>
      <c r="AA23" s="18" t="str">
        <f>IF(C23="","",IF(OR(Newc[[#This Row],[Outside/Broke (O/B)2]]="O",Newc[[#This Row],[Outside/Broke (O/B)2]]="B"),0,IF((Y23/MAlength*150)=0, 0,IF((Y23/MAlength*150)&lt;'MA calc'!$A$4, 15, VLOOKUP((Y23/MAlength*150),WalkScore,2,TRUE)))))</f>
        <v/>
      </c>
      <c r="AB23" s="17"/>
    </row>
    <row r="24" spans="1:28" s="35" customFormat="1" x14ac:dyDescent="0.3">
      <c r="A24" s="17"/>
      <c r="B24" s="17"/>
      <c r="C24" s="17"/>
      <c r="D24" s="17"/>
      <c r="E24" s="17"/>
      <c r="F24" s="17"/>
      <c r="G24" s="17" t="str">
        <f t="shared" si="0"/>
        <v/>
      </c>
      <c r="H24" s="52" t="str">
        <f>IF(Newc[[#This Row],[RIDER]]="","",IF((COUNTIF(J24, "E")), "E", (SUM(J24+I24))))</f>
        <v/>
      </c>
      <c r="I24" s="52" t="str">
        <f>IF(Newc[[#This Row],[RIDER]]="","",SUM(X24,AA24))</f>
        <v/>
      </c>
      <c r="J24" s="42" t="str">
        <f>IF(Newc[[#This Row],[RIDER]]="","",IF(COUNTIF(K24:T24, "E"), "E", (SUM(K24:T24)-U24)))</f>
        <v/>
      </c>
      <c r="K24" s="17">
        <v>0</v>
      </c>
      <c r="L24" s="17">
        <v>0</v>
      </c>
      <c r="M24" s="17">
        <v>0</v>
      </c>
      <c r="N24" s="17">
        <v>0</v>
      </c>
      <c r="O24" s="17">
        <v>0</v>
      </c>
      <c r="P24" s="17">
        <v>0</v>
      </c>
      <c r="Q24" s="17">
        <v>0</v>
      </c>
      <c r="R24" s="17">
        <v>0</v>
      </c>
      <c r="S24" s="17">
        <v>0</v>
      </c>
      <c r="T24" s="17">
        <v>0</v>
      </c>
      <c r="U24" s="17">
        <v>0</v>
      </c>
      <c r="V24" s="17"/>
      <c r="W24" s="17"/>
      <c r="X24" s="18" t="str">
        <f>IF(C24="","",IF(OR(Newc[[#This Row],[Outside/Broke (O/B)]]="O",Newc[[#This Row],[Outside/Broke (O/B)]]="B"),0,VLOOKUP((V24/MAlength*150),CanterScore,2,TRUE)))</f>
        <v/>
      </c>
      <c r="Y24" s="17"/>
      <c r="Z24" s="17"/>
      <c r="AA24" s="18" t="str">
        <f>IF(C24="","",IF(OR(Newc[[#This Row],[Outside/Broke (O/B)2]]="O",Newc[[#This Row],[Outside/Broke (O/B)2]]="B"),0,IF((Y24/MAlength*150)=0, 0,IF((Y24/MAlength*150)&lt;'MA calc'!$A$4, 15, VLOOKUP((Y24/MAlength*150),WalkScore,2,TRUE)))))</f>
        <v/>
      </c>
      <c r="AB24" s="17"/>
    </row>
    <row r="25" spans="1:28" s="35" customFormat="1" x14ac:dyDescent="0.3">
      <c r="A25" s="17"/>
      <c r="B25" s="17"/>
      <c r="C25" s="17"/>
      <c r="D25" s="17"/>
      <c r="E25" s="17"/>
      <c r="F25" s="17"/>
      <c r="G25" s="17" t="str">
        <f t="shared" si="0"/>
        <v/>
      </c>
      <c r="H25" s="52" t="str">
        <f>IF(Newc[[#This Row],[RIDER]]="","",IF((COUNTIF(J25, "E")), "E", (SUM(J25+I25))))</f>
        <v/>
      </c>
      <c r="I25" s="52" t="str">
        <f>IF(Newc[[#This Row],[RIDER]]="","",SUM(X25,AA25))</f>
        <v/>
      </c>
      <c r="J25" s="42" t="str">
        <f>IF(Newc[[#This Row],[RIDER]]="","",IF(COUNTIF(K25:T25, "E"), "E", (SUM(K25:T25)-U25)))</f>
        <v/>
      </c>
      <c r="K25" s="17">
        <v>0</v>
      </c>
      <c r="L25" s="17">
        <v>0</v>
      </c>
      <c r="M25" s="17">
        <v>0</v>
      </c>
      <c r="N25" s="17">
        <v>0</v>
      </c>
      <c r="O25" s="17">
        <v>0</v>
      </c>
      <c r="P25" s="17">
        <v>0</v>
      </c>
      <c r="Q25" s="17">
        <v>0</v>
      </c>
      <c r="R25" s="17">
        <v>0</v>
      </c>
      <c r="S25" s="17">
        <v>0</v>
      </c>
      <c r="T25" s="17">
        <v>0</v>
      </c>
      <c r="U25" s="17">
        <v>0</v>
      </c>
      <c r="V25" s="17"/>
      <c r="W25" s="17"/>
      <c r="X25" s="18" t="str">
        <f>IF(C25="","",IF(OR(Newc[[#This Row],[Outside/Broke (O/B)]]="O",Newc[[#This Row],[Outside/Broke (O/B)]]="B"),0,VLOOKUP((V25/MAlength*150),CanterScore,2,TRUE)))</f>
        <v/>
      </c>
      <c r="Y25" s="17"/>
      <c r="Z25" s="17"/>
      <c r="AA25" s="18" t="str">
        <f>IF(C25="","",IF(OR(Newc[[#This Row],[Outside/Broke (O/B)2]]="O",Newc[[#This Row],[Outside/Broke (O/B)2]]="B"),0,IF((Y25/MAlength*150)=0, 0,IF((Y25/MAlength*150)&lt;'MA calc'!$A$4, 15, VLOOKUP((Y25/MAlength*150),WalkScore,2,TRUE)))))</f>
        <v/>
      </c>
      <c r="AB25" s="17"/>
    </row>
    <row r="26" spans="1:28" s="35" customFormat="1" x14ac:dyDescent="0.3">
      <c r="A26" s="17"/>
      <c r="B26" s="17"/>
      <c r="C26" s="17"/>
      <c r="D26" s="17"/>
      <c r="E26" s="17"/>
      <c r="F26" s="17"/>
      <c r="G26" s="17" t="str">
        <f t="shared" si="0"/>
        <v/>
      </c>
      <c r="H26" s="52" t="str">
        <f>IF(Newc[[#This Row],[RIDER]]="","",IF((COUNTIF(J26, "E")), "E", (SUM(J26+I26))))</f>
        <v/>
      </c>
      <c r="I26" s="52" t="str">
        <f>IF(Newc[[#This Row],[RIDER]]="","",SUM(X26,AA26))</f>
        <v/>
      </c>
      <c r="J26" s="42" t="str">
        <f>IF(Newc[[#This Row],[RIDER]]="","",IF(COUNTIF(K26:T26, "E"), "E", (SUM(K26:T26)-U26)))</f>
        <v/>
      </c>
      <c r="K26" s="17">
        <v>0</v>
      </c>
      <c r="L26" s="17">
        <v>0</v>
      </c>
      <c r="M26" s="17">
        <v>0</v>
      </c>
      <c r="N26" s="17">
        <v>0</v>
      </c>
      <c r="O26" s="17">
        <v>0</v>
      </c>
      <c r="P26" s="17">
        <v>0</v>
      </c>
      <c r="Q26" s="17">
        <v>0</v>
      </c>
      <c r="R26" s="17">
        <v>0</v>
      </c>
      <c r="S26" s="17">
        <v>0</v>
      </c>
      <c r="T26" s="17">
        <v>0</v>
      </c>
      <c r="U26" s="17">
        <v>0</v>
      </c>
      <c r="V26" s="17"/>
      <c r="W26" s="17"/>
      <c r="X26" s="18" t="str">
        <f>IF(C26="","",IF(OR(Newc[[#This Row],[Outside/Broke (O/B)]]="O",Newc[[#This Row],[Outside/Broke (O/B)]]="B"),0,VLOOKUP((V26/MAlength*150),CanterScore,2,TRUE)))</f>
        <v/>
      </c>
      <c r="Y26" s="17"/>
      <c r="Z26" s="17"/>
      <c r="AA26" s="18" t="str">
        <f>IF(C26="","",IF(OR(Newc[[#This Row],[Outside/Broke (O/B)2]]="O",Newc[[#This Row],[Outside/Broke (O/B)2]]="B"),0,IF((Y26/MAlength*150)=0, 0,IF((Y26/MAlength*150)&lt;'MA calc'!$A$4, 15, VLOOKUP((Y26/MAlength*150),WalkScore,2,TRUE)))))</f>
        <v/>
      </c>
      <c r="AB26" s="17"/>
    </row>
    <row r="27" spans="1:28" s="35" customFormat="1" x14ac:dyDescent="0.3">
      <c r="A27" s="17"/>
      <c r="B27" s="17"/>
      <c r="C27" s="17"/>
      <c r="D27" s="17"/>
      <c r="E27" s="17"/>
      <c r="F27" s="17"/>
      <c r="G27" s="17" t="str">
        <f t="shared" si="0"/>
        <v/>
      </c>
      <c r="H27" s="52" t="str">
        <f>IF(Newc[[#This Row],[RIDER]]="","",IF((COUNTIF(J27, "E")), "E", (SUM(J27+I27))))</f>
        <v/>
      </c>
      <c r="I27" s="52" t="str">
        <f>IF(Newc[[#This Row],[RIDER]]="","",SUM(X27,AA27))</f>
        <v/>
      </c>
      <c r="J27" s="42" t="str">
        <f>IF(Newc[[#This Row],[RIDER]]="","",IF(COUNTIF(K27:T27, "E"), "E", (SUM(K27:T27)-U27)))</f>
        <v/>
      </c>
      <c r="K27" s="17">
        <v>0</v>
      </c>
      <c r="L27" s="17">
        <v>0</v>
      </c>
      <c r="M27" s="17">
        <v>0</v>
      </c>
      <c r="N27" s="17">
        <v>0</v>
      </c>
      <c r="O27" s="17">
        <v>0</v>
      </c>
      <c r="P27" s="17">
        <v>0</v>
      </c>
      <c r="Q27" s="17">
        <v>0</v>
      </c>
      <c r="R27" s="17">
        <v>0</v>
      </c>
      <c r="S27" s="17">
        <v>0</v>
      </c>
      <c r="T27" s="17">
        <v>0</v>
      </c>
      <c r="U27" s="17">
        <v>0</v>
      </c>
      <c r="V27" s="17"/>
      <c r="W27" s="17"/>
      <c r="X27" s="18" t="str">
        <f>IF(C27="","",IF(OR(Newc[[#This Row],[Outside/Broke (O/B)]]="O",Newc[[#This Row],[Outside/Broke (O/B)]]="B"),0,VLOOKUP((V27/MAlength*150),CanterScore,2,TRUE)))</f>
        <v/>
      </c>
      <c r="Y27" s="17"/>
      <c r="Z27" s="17"/>
      <c r="AA27" s="18" t="str">
        <f>IF(C27="","",IF(OR(Newc[[#This Row],[Outside/Broke (O/B)2]]="O",Newc[[#This Row],[Outside/Broke (O/B)2]]="B"),0,IF((Y27/MAlength*150)=0, 0,IF((Y27/MAlength*150)&lt;'MA calc'!$A$4, 15, VLOOKUP((Y27/MAlength*150),WalkScore,2,TRUE)))))</f>
        <v/>
      </c>
      <c r="AB27" s="17"/>
    </row>
    <row r="28" spans="1:28" s="35" customFormat="1" x14ac:dyDescent="0.3">
      <c r="A28" s="17"/>
      <c r="B28" s="17"/>
      <c r="C28" s="17"/>
      <c r="D28" s="17"/>
      <c r="E28" s="17"/>
      <c r="F28" s="17"/>
      <c r="G28" s="17" t="str">
        <f t="shared" si="0"/>
        <v/>
      </c>
      <c r="H28" s="52" t="str">
        <f>IF(Newc[[#This Row],[RIDER]]="","",IF((COUNTIF(J28, "E")), "E", (SUM(J28+I28))))</f>
        <v/>
      </c>
      <c r="I28" s="52" t="str">
        <f>IF(Newc[[#This Row],[RIDER]]="","",SUM(X28,AA28))</f>
        <v/>
      </c>
      <c r="J28" s="42" t="str">
        <f>IF(Newc[[#This Row],[RIDER]]="","",IF(COUNTIF(K28:T28, "E"), "E", (SUM(K28:T28)-U28)))</f>
        <v/>
      </c>
      <c r="K28" s="17">
        <v>0</v>
      </c>
      <c r="L28" s="17">
        <v>0</v>
      </c>
      <c r="M28" s="17">
        <v>0</v>
      </c>
      <c r="N28" s="17">
        <v>0</v>
      </c>
      <c r="O28" s="17">
        <v>0</v>
      </c>
      <c r="P28" s="17">
        <v>0</v>
      </c>
      <c r="Q28" s="17">
        <v>0</v>
      </c>
      <c r="R28" s="17">
        <v>0</v>
      </c>
      <c r="S28" s="17">
        <v>0</v>
      </c>
      <c r="T28" s="17">
        <v>0</v>
      </c>
      <c r="U28" s="17">
        <v>0</v>
      </c>
      <c r="V28" s="17"/>
      <c r="W28" s="17"/>
      <c r="X28" s="18" t="str">
        <f>IF(C28="","",IF(OR(Newc[[#This Row],[Outside/Broke (O/B)]]="O",Newc[[#This Row],[Outside/Broke (O/B)]]="B"),0,VLOOKUP((V28/MAlength*150),CanterScore,2,TRUE)))</f>
        <v/>
      </c>
      <c r="Y28" s="17"/>
      <c r="Z28" s="17"/>
      <c r="AA28" s="18" t="str">
        <f>IF(C28="","",IF(OR(Newc[[#This Row],[Outside/Broke (O/B)2]]="O",Newc[[#This Row],[Outside/Broke (O/B)2]]="B"),0,IF((Y28/MAlength*150)=0, 0,IF((Y28/MAlength*150)&lt;'MA calc'!$A$4, 15, VLOOKUP((Y28/MAlength*150),WalkScore,2,TRUE)))))</f>
        <v/>
      </c>
      <c r="AB28" s="17"/>
    </row>
    <row r="29" spans="1:28" s="35" customFormat="1" x14ac:dyDescent="0.3">
      <c r="A29" s="17"/>
      <c r="B29" s="17"/>
      <c r="C29" s="17"/>
      <c r="D29" s="17"/>
      <c r="E29" s="17"/>
      <c r="F29" s="17"/>
      <c r="G29" s="17" t="str">
        <f t="shared" si="0"/>
        <v/>
      </c>
      <c r="H29" s="52" t="str">
        <f>IF(Newc[[#This Row],[RIDER]]="","",IF((COUNTIF(J29, "E")), "E", (SUM(J29+I29))))</f>
        <v/>
      </c>
      <c r="I29" s="52" t="str">
        <f>IF(Newc[[#This Row],[RIDER]]="","",SUM(X29,AA29))</f>
        <v/>
      </c>
      <c r="J29" s="42" t="str">
        <f>IF(Newc[[#This Row],[RIDER]]="","",IF(COUNTIF(K29:T29, "E"), "E", (SUM(K29:T29)-U29)))</f>
        <v/>
      </c>
      <c r="K29" s="17">
        <v>0</v>
      </c>
      <c r="L29" s="17">
        <v>0</v>
      </c>
      <c r="M29" s="17">
        <v>0</v>
      </c>
      <c r="N29" s="17">
        <v>0</v>
      </c>
      <c r="O29" s="17">
        <v>0</v>
      </c>
      <c r="P29" s="17">
        <v>0</v>
      </c>
      <c r="Q29" s="17">
        <v>0</v>
      </c>
      <c r="R29" s="17">
        <v>0</v>
      </c>
      <c r="S29" s="17">
        <v>0</v>
      </c>
      <c r="T29" s="17">
        <v>0</v>
      </c>
      <c r="U29" s="17">
        <v>0</v>
      </c>
      <c r="V29" s="17"/>
      <c r="W29" s="17"/>
      <c r="X29" s="18" t="str">
        <f>IF(C29="","",IF(OR(Newc[[#This Row],[Outside/Broke (O/B)]]="O",Newc[[#This Row],[Outside/Broke (O/B)]]="B"),0,VLOOKUP((V29/MAlength*150),CanterScore,2,TRUE)))</f>
        <v/>
      </c>
      <c r="Y29" s="17"/>
      <c r="Z29" s="17"/>
      <c r="AA29" s="18" t="str">
        <f>IF(C29="","",IF(OR(Newc[[#This Row],[Outside/Broke (O/B)2]]="O",Newc[[#This Row],[Outside/Broke (O/B)2]]="B"),0,IF((Y29/MAlength*150)=0, 0,IF((Y29/MAlength*150)&lt;'MA calc'!$A$4, 15, VLOOKUP((Y29/MAlength*150),WalkScore,2,TRUE)))))</f>
        <v/>
      </c>
      <c r="AB29" s="17"/>
    </row>
    <row r="30" spans="1:28" s="35" customFormat="1" x14ac:dyDescent="0.3">
      <c r="A30" s="17"/>
      <c r="B30" s="17"/>
      <c r="C30" s="17"/>
      <c r="D30" s="17"/>
      <c r="E30" s="17"/>
      <c r="F30" s="17"/>
      <c r="G30" s="17" t="str">
        <f t="shared" si="0"/>
        <v/>
      </c>
      <c r="H30" s="52" t="str">
        <f>IF(Newc[[#This Row],[RIDER]]="","",IF((COUNTIF(J30, "E")), "E", (SUM(J30+I30))))</f>
        <v/>
      </c>
      <c r="I30" s="52" t="str">
        <f>IF(Newc[[#This Row],[RIDER]]="","",SUM(X30,AA30))</f>
        <v/>
      </c>
      <c r="J30" s="42" t="str">
        <f>IF(Newc[[#This Row],[RIDER]]="","",IF(COUNTIF(K30:T30, "E"), "E", (SUM(K30:T30)-U30)))</f>
        <v/>
      </c>
      <c r="K30" s="17">
        <v>0</v>
      </c>
      <c r="L30" s="17">
        <v>0</v>
      </c>
      <c r="M30" s="17">
        <v>0</v>
      </c>
      <c r="N30" s="17">
        <v>0</v>
      </c>
      <c r="O30" s="17">
        <v>0</v>
      </c>
      <c r="P30" s="17">
        <v>0</v>
      </c>
      <c r="Q30" s="17">
        <v>0</v>
      </c>
      <c r="R30" s="17">
        <v>0</v>
      </c>
      <c r="S30" s="17">
        <v>0</v>
      </c>
      <c r="T30" s="17">
        <v>0</v>
      </c>
      <c r="U30" s="17">
        <v>0</v>
      </c>
      <c r="V30" s="17"/>
      <c r="W30" s="17"/>
      <c r="X30" s="18" t="str">
        <f>IF(C30="","",IF(OR(Newc[[#This Row],[Outside/Broke (O/B)]]="O",Newc[[#This Row],[Outside/Broke (O/B)]]="B"),0,VLOOKUP((V30/MAlength*150),CanterScore,2,TRUE)))</f>
        <v/>
      </c>
      <c r="Y30" s="17"/>
      <c r="Z30" s="17"/>
      <c r="AA30" s="18" t="str">
        <f>IF(C30="","",IF(OR(Newc[[#This Row],[Outside/Broke (O/B)2]]="O",Newc[[#This Row],[Outside/Broke (O/B)2]]="B"),0,IF((Y30/MAlength*150)=0, 0,IF((Y30/MAlength*150)&lt;'MA calc'!$A$4, 15, VLOOKUP((Y30/MAlength*150),WalkScore,2,TRUE)))))</f>
        <v/>
      </c>
      <c r="AB30" s="17"/>
    </row>
    <row r="31" spans="1:28" s="35" customFormat="1" x14ac:dyDescent="0.3">
      <c r="A31" s="17"/>
      <c r="B31" s="17"/>
      <c r="C31" s="17"/>
      <c r="D31" s="17"/>
      <c r="E31" s="17"/>
      <c r="F31" s="17"/>
      <c r="G31" s="17" t="str">
        <f t="shared" si="0"/>
        <v/>
      </c>
      <c r="H31" s="52" t="str">
        <f>IF(Newc[[#This Row],[RIDER]]="","",IF((COUNTIF(J31, "E")), "E", (SUM(J31+I31))))</f>
        <v/>
      </c>
      <c r="I31" s="52" t="str">
        <f>IF(Newc[[#This Row],[RIDER]]="","",SUM(X31,AA31))</f>
        <v/>
      </c>
      <c r="J31" s="42" t="str">
        <f>IF(Newc[[#This Row],[RIDER]]="","",IF(COUNTIF(K31:T31, "E"), "E", (SUM(K31:T31)-U31)))</f>
        <v/>
      </c>
      <c r="K31" s="17">
        <v>0</v>
      </c>
      <c r="L31" s="17">
        <v>0</v>
      </c>
      <c r="M31" s="17">
        <v>0</v>
      </c>
      <c r="N31" s="17">
        <v>0</v>
      </c>
      <c r="O31" s="17">
        <v>0</v>
      </c>
      <c r="P31" s="17">
        <v>0</v>
      </c>
      <c r="Q31" s="17">
        <v>0</v>
      </c>
      <c r="R31" s="17">
        <v>0</v>
      </c>
      <c r="S31" s="17">
        <v>0</v>
      </c>
      <c r="T31" s="17">
        <v>0</v>
      </c>
      <c r="U31" s="17">
        <v>0</v>
      </c>
      <c r="V31" s="17"/>
      <c r="W31" s="17"/>
      <c r="X31" s="18" t="str">
        <f>IF(C31="","",IF(OR(Newc[[#This Row],[Outside/Broke (O/B)]]="O",Newc[[#This Row],[Outside/Broke (O/B)]]="B"),0,VLOOKUP((V31/MAlength*150),CanterScore,2,TRUE)))</f>
        <v/>
      </c>
      <c r="Y31" s="17"/>
      <c r="Z31" s="17"/>
      <c r="AA31" s="18" t="str">
        <f>IF(C31="","",IF(OR(Newc[[#This Row],[Outside/Broke (O/B)2]]="O",Newc[[#This Row],[Outside/Broke (O/B)2]]="B"),0,IF((Y31/MAlength*150)=0, 0,IF((Y31/MAlength*150)&lt;'MA calc'!$A$4, 15, VLOOKUP((Y31/MAlength*150),WalkScore,2,TRUE)))))</f>
        <v/>
      </c>
      <c r="AB31" s="17"/>
    </row>
    <row r="32" spans="1:28" s="35" customFormat="1" x14ac:dyDescent="0.3">
      <c r="A32" s="17"/>
      <c r="B32" s="17"/>
      <c r="C32" s="17"/>
      <c r="D32" s="17"/>
      <c r="E32" s="17"/>
      <c r="F32" s="17"/>
      <c r="G32" s="17" t="str">
        <f t="shared" si="0"/>
        <v/>
      </c>
      <c r="H32" s="52" t="str">
        <f>IF(Newc[[#This Row],[RIDER]]="","",IF((COUNTIF(J32, "E")), "E", (SUM(J32+I32))))</f>
        <v/>
      </c>
      <c r="I32" s="52" t="str">
        <f>IF(Newc[[#This Row],[RIDER]]="","",SUM(X32,AA32))</f>
        <v/>
      </c>
      <c r="J32" s="42" t="str">
        <f>IF(Newc[[#This Row],[RIDER]]="","",IF(COUNTIF(K32:T32, "E"), "E", (SUM(K32:T32)-U32)))</f>
        <v/>
      </c>
      <c r="K32" s="17">
        <v>0</v>
      </c>
      <c r="L32" s="17">
        <v>0</v>
      </c>
      <c r="M32" s="17">
        <v>0</v>
      </c>
      <c r="N32" s="17">
        <v>0</v>
      </c>
      <c r="O32" s="17">
        <v>0</v>
      </c>
      <c r="P32" s="17">
        <v>0</v>
      </c>
      <c r="Q32" s="17">
        <v>0</v>
      </c>
      <c r="R32" s="17">
        <v>0</v>
      </c>
      <c r="S32" s="17">
        <v>0</v>
      </c>
      <c r="T32" s="17">
        <v>0</v>
      </c>
      <c r="U32" s="17">
        <v>0</v>
      </c>
      <c r="V32" s="17"/>
      <c r="W32" s="17"/>
      <c r="X32" s="18" t="str">
        <f>IF(C32="","",IF(OR(Newc[[#This Row],[Outside/Broke (O/B)]]="O",Newc[[#This Row],[Outside/Broke (O/B)]]="B"),0,VLOOKUP((V32/MAlength*150),CanterScore,2,TRUE)))</f>
        <v/>
      </c>
      <c r="Y32" s="17"/>
      <c r="Z32" s="17"/>
      <c r="AA32" s="18" t="str">
        <f>IF(C32="","",IF(OR(Newc[[#This Row],[Outside/Broke (O/B)2]]="O",Newc[[#This Row],[Outside/Broke (O/B)2]]="B"),0,IF((Y32/MAlength*150)=0, 0,IF((Y32/MAlength*150)&lt;'MA calc'!$A$4, 15, VLOOKUP((Y32/MAlength*150),WalkScore,2,TRUE)))))</f>
        <v/>
      </c>
      <c r="AB32" s="17"/>
    </row>
    <row r="33" spans="1:28" s="35" customFormat="1" x14ac:dyDescent="0.3">
      <c r="A33" s="17"/>
      <c r="B33" s="17"/>
      <c r="C33" s="17"/>
      <c r="D33" s="17"/>
      <c r="E33" s="17"/>
      <c r="F33" s="17"/>
      <c r="G33" s="17" t="str">
        <f t="shared" si="0"/>
        <v/>
      </c>
      <c r="H33" s="52" t="str">
        <f>IF(Newc[[#This Row],[RIDER]]="","",IF((COUNTIF(J33, "E")), "E", (SUM(J33+I33))))</f>
        <v/>
      </c>
      <c r="I33" s="52" t="str">
        <f>IF(Newc[[#This Row],[RIDER]]="","",SUM(X33,AA33))</f>
        <v/>
      </c>
      <c r="J33" s="42" t="str">
        <f>IF(Newc[[#This Row],[RIDER]]="","",IF(COUNTIF(K33:T33, "E"), "E", (SUM(K33:T33)-U33)))</f>
        <v/>
      </c>
      <c r="K33" s="17">
        <v>0</v>
      </c>
      <c r="L33" s="17">
        <v>0</v>
      </c>
      <c r="M33" s="17">
        <v>0</v>
      </c>
      <c r="N33" s="17">
        <v>0</v>
      </c>
      <c r="O33" s="17">
        <v>0</v>
      </c>
      <c r="P33" s="17">
        <v>0</v>
      </c>
      <c r="Q33" s="17">
        <v>0</v>
      </c>
      <c r="R33" s="17">
        <v>0</v>
      </c>
      <c r="S33" s="17">
        <v>0</v>
      </c>
      <c r="T33" s="17">
        <v>0</v>
      </c>
      <c r="U33" s="17">
        <v>0</v>
      </c>
      <c r="V33" s="17"/>
      <c r="W33" s="17"/>
      <c r="X33" s="18" t="str">
        <f>IF(C33="","",IF(OR(Newc[[#This Row],[Outside/Broke (O/B)]]="O",Newc[[#This Row],[Outside/Broke (O/B)]]="B"),0,VLOOKUP((V33/MAlength*150),CanterScore,2,TRUE)))</f>
        <v/>
      </c>
      <c r="Y33" s="17"/>
      <c r="Z33" s="17"/>
      <c r="AA33" s="18" t="str">
        <f>IF(C33="","",IF(OR(Newc[[#This Row],[Outside/Broke (O/B)2]]="O",Newc[[#This Row],[Outside/Broke (O/B)2]]="B"),0,IF((Y33/MAlength*150)=0, 0,IF((Y33/MAlength*150)&lt;'MA calc'!$A$4, 15, VLOOKUP((Y33/MAlength*150),WalkScore,2,TRUE)))))</f>
        <v/>
      </c>
      <c r="AB33" s="17"/>
    </row>
    <row r="34" spans="1:28" s="35" customFormat="1" x14ac:dyDescent="0.3">
      <c r="A34" s="17"/>
      <c r="B34" s="17"/>
      <c r="C34" s="17"/>
      <c r="D34" s="17"/>
      <c r="E34" s="17"/>
      <c r="F34" s="17"/>
      <c r="G34" s="17" t="str">
        <f t="shared" si="0"/>
        <v/>
      </c>
      <c r="H34" s="52" t="str">
        <f>IF(Newc[[#This Row],[RIDER]]="","",IF((COUNTIF(J34, "E")), "E", (SUM(J34+I34))))</f>
        <v/>
      </c>
      <c r="I34" s="52" t="str">
        <f>IF(Newc[[#This Row],[RIDER]]="","",SUM(X34,AA34))</f>
        <v/>
      </c>
      <c r="J34" s="42" t="str">
        <f>IF(Newc[[#This Row],[RIDER]]="","",IF(COUNTIF(K34:T34, "E"), "E", (SUM(K34:T34)-U34)))</f>
        <v/>
      </c>
      <c r="K34" s="17">
        <v>0</v>
      </c>
      <c r="L34" s="17">
        <v>0</v>
      </c>
      <c r="M34" s="17">
        <v>0</v>
      </c>
      <c r="N34" s="17">
        <v>0</v>
      </c>
      <c r="O34" s="17">
        <v>0</v>
      </c>
      <c r="P34" s="17">
        <v>0</v>
      </c>
      <c r="Q34" s="17">
        <v>0</v>
      </c>
      <c r="R34" s="17">
        <v>0</v>
      </c>
      <c r="S34" s="17">
        <v>0</v>
      </c>
      <c r="T34" s="17">
        <v>0</v>
      </c>
      <c r="U34" s="17">
        <v>0</v>
      </c>
      <c r="V34" s="17"/>
      <c r="W34" s="17"/>
      <c r="X34" s="18" t="str">
        <f>IF(C34="","",IF(OR(Newc[[#This Row],[Outside/Broke (O/B)]]="O",Newc[[#This Row],[Outside/Broke (O/B)]]="B"),0,VLOOKUP((V34/MAlength*150),CanterScore,2,TRUE)))</f>
        <v/>
      </c>
      <c r="Y34" s="17"/>
      <c r="Z34" s="17"/>
      <c r="AA34" s="18" t="str">
        <f>IF(C34="","",IF(OR(Newc[[#This Row],[Outside/Broke (O/B)2]]="O",Newc[[#This Row],[Outside/Broke (O/B)2]]="B"),0,IF((Y34/MAlength*150)=0, 0,IF((Y34/MAlength*150)&lt;'MA calc'!$A$4, 15, VLOOKUP((Y34/MAlength*150),WalkScore,2,TRUE)))))</f>
        <v/>
      </c>
      <c r="AB34" s="17"/>
    </row>
    <row r="35" spans="1:28" s="35" customFormat="1" x14ac:dyDescent="0.3">
      <c r="A35" s="17"/>
      <c r="B35" s="17"/>
      <c r="C35" s="17"/>
      <c r="D35" s="17"/>
      <c r="E35" s="17"/>
      <c r="F35" s="17"/>
      <c r="G35" s="17" t="str">
        <f t="shared" si="0"/>
        <v/>
      </c>
      <c r="H35" s="52" t="str">
        <f>IF(Newc[[#This Row],[RIDER]]="","",IF((COUNTIF(J35, "E")), "E", (SUM(J35+I35))))</f>
        <v/>
      </c>
      <c r="I35" s="52" t="str">
        <f>IF(Newc[[#This Row],[RIDER]]="","",SUM(X35,AA35))</f>
        <v/>
      </c>
      <c r="J35" s="42" t="str">
        <f>IF(Newc[[#This Row],[RIDER]]="","",IF(COUNTIF(K35:T35, "E"), "E", (SUM(K35:T35)-U35)))</f>
        <v/>
      </c>
      <c r="K35" s="17">
        <v>0</v>
      </c>
      <c r="L35" s="17">
        <v>0</v>
      </c>
      <c r="M35" s="17">
        <v>0</v>
      </c>
      <c r="N35" s="17">
        <v>0</v>
      </c>
      <c r="O35" s="17">
        <v>0</v>
      </c>
      <c r="P35" s="17">
        <v>0</v>
      </c>
      <c r="Q35" s="17">
        <v>0</v>
      </c>
      <c r="R35" s="17">
        <v>0</v>
      </c>
      <c r="S35" s="17">
        <v>0</v>
      </c>
      <c r="T35" s="17">
        <v>0</v>
      </c>
      <c r="U35" s="17">
        <v>0</v>
      </c>
      <c r="V35" s="17"/>
      <c r="W35" s="17"/>
      <c r="X35" s="18" t="str">
        <f>IF(C35="","",IF(OR(Newc[[#This Row],[Outside/Broke (O/B)]]="O",Newc[[#This Row],[Outside/Broke (O/B)]]="B"),0,VLOOKUP((V35/MAlength*150),CanterScore,2,TRUE)))</f>
        <v/>
      </c>
      <c r="Y35" s="17"/>
      <c r="Z35" s="17"/>
      <c r="AA35" s="18" t="str">
        <f>IF(C35="","",IF(OR(Newc[[#This Row],[Outside/Broke (O/B)2]]="O",Newc[[#This Row],[Outside/Broke (O/B)2]]="B"),0,IF((Y35/MAlength*150)=0, 0,IF((Y35/MAlength*150)&lt;'MA calc'!$A$4, 15, VLOOKUP((Y35/MAlength*150),WalkScore,2,TRUE)))))</f>
        <v/>
      </c>
      <c r="AB35" s="17"/>
    </row>
  </sheetData>
  <mergeCells count="5">
    <mergeCell ref="D6:E6"/>
    <mergeCell ref="H6:I6"/>
    <mergeCell ref="K6:L6"/>
    <mergeCell ref="M6:T6"/>
    <mergeCell ref="D7:E7"/>
  </mergeCells>
  <phoneticPr fontId="26" type="noConversion"/>
  <conditionalFormatting sqref="K11:U35">
    <cfRule type="cellIs" dxfId="5" priority="1" operator="greaterThan">
      <formula>10</formula>
    </cfRule>
  </conditionalFormatting>
  <dataValidations count="3">
    <dataValidation type="list" operator="lessThanOrEqual" allowBlank="1" showDropDown="1" showInputMessage="1" showErrorMessage="1" errorTitle="Invalid entry" error="The maximum score for each obstacle is 10. _x000a_Please enter a number between -5 and 10, or an E." sqref="K11:U35" xr:uid="{7690322D-AE44-4905-85CB-895B1770EBF0}">
      <formula1>"0,1,2,3,4,5,6,7,8,9,10,E,-1,-2,-3,-4,-5"</formula1>
    </dataValidation>
    <dataValidation type="list" allowBlank="1" showDropDown="1" showErrorMessage="1" errorTitle="Invalid entry" error="Please enter Y or N only" sqref="E11:E35" xr:uid="{A11F8D11-E69D-4A0E-8910-77F44C3E7756}">
      <formula1>"N,Y"</formula1>
    </dataValidation>
    <dataValidation type="list" allowBlank="1" showDropDown="1" showErrorMessage="1" errorTitle="Invalid entry" error="Please enter O or B only" sqref="W11:W35 Z11:Z35" xr:uid="{0351A84D-52A1-4489-871C-EB198BC40D1A}">
      <formula1>"B,O"</formula1>
    </dataValidation>
  </dataValidations>
  <printOptions horizontalCentered="1" verticalCentered="1"/>
  <pageMargins left="0.23622047244094491" right="0.23622047244094491" top="0.74803149606299213" bottom="0.74803149606299213" header="0.31496062992125984" footer="0.31496062992125984"/>
  <pageSetup paperSize="9" scale="53" orientation="landscape" r:id="rId1"/>
  <drawing r:id="rId2"/>
  <tableParts count="1">
    <tablePart r:id="rId3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C418C7-A160-4860-918A-478C3B781D2C}">
  <sheetPr>
    <pageSetUpPr fitToPage="1"/>
  </sheetPr>
  <dimension ref="A1:AB35"/>
  <sheetViews>
    <sheetView topLeftCell="B3" zoomScale="75" zoomScaleNormal="75" workbookViewId="0">
      <selection activeCell="U17" sqref="U17"/>
    </sheetView>
  </sheetViews>
  <sheetFormatPr defaultColWidth="8.69921875" defaultRowHeight="14.4" x14ac:dyDescent="0.3"/>
  <cols>
    <col min="1" max="1" width="17.19921875" style="14" bestFit="1" customWidth="1"/>
    <col min="2" max="2" width="14.3984375" style="14" bestFit="1" customWidth="1"/>
    <col min="3" max="3" width="15.69921875" style="14" bestFit="1" customWidth="1"/>
    <col min="4" max="4" width="19.19921875" style="14" bestFit="1" customWidth="1"/>
    <col min="5" max="5" width="12.8984375" style="14" customWidth="1"/>
    <col min="6" max="6" width="21.19921875" style="14" customWidth="1"/>
    <col min="7" max="7" width="17.19921875" style="14" bestFit="1" customWidth="1"/>
    <col min="8" max="8" width="11.3984375" style="1" customWidth="1"/>
    <col min="9" max="9" width="10.5" style="1" customWidth="1"/>
    <col min="10" max="10" width="12.5" style="14" bestFit="1" customWidth="1"/>
    <col min="11" max="11" width="8.69921875" style="14" customWidth="1"/>
    <col min="12" max="12" width="8.5" style="14" customWidth="1"/>
    <col min="13" max="15" width="6.69921875" style="14" customWidth="1"/>
    <col min="16" max="16" width="7.19921875" style="14" customWidth="1"/>
    <col min="17" max="21" width="6.69921875" style="14" customWidth="1"/>
    <col min="22" max="23" width="9" style="14" customWidth="1"/>
    <col min="24" max="24" width="6.69921875" style="1" customWidth="1"/>
    <col min="25" max="25" width="9" style="14" customWidth="1"/>
    <col min="26" max="27" width="6.69921875" style="1" customWidth="1"/>
    <col min="28" max="28" width="4.5" style="14" hidden="1" customWidth="1"/>
    <col min="29" max="29" width="23.09765625" style="14" customWidth="1"/>
    <col min="30" max="30" width="3.3984375" style="14" customWidth="1"/>
    <col min="31" max="31" width="2.59765625" style="14" customWidth="1"/>
    <col min="32" max="32" width="2.5" style="14" customWidth="1"/>
    <col min="33" max="33" width="8.69921875" style="14"/>
    <col min="34" max="34" width="8.69921875" style="14" customWidth="1"/>
    <col min="35" max="16384" width="8.69921875" style="14"/>
  </cols>
  <sheetData>
    <row r="1" spans="1:28" ht="3" customHeight="1" x14ac:dyDescent="0.3"/>
    <row r="2" spans="1:28" ht="23.4" customHeight="1" x14ac:dyDescent="0.45">
      <c r="A2" s="23"/>
      <c r="B2" s="23"/>
      <c r="F2" s="7" t="s">
        <v>14</v>
      </c>
      <c r="T2" s="1"/>
      <c r="U2" s="1"/>
    </row>
    <row r="3" spans="1:28" ht="14.55" customHeight="1" x14ac:dyDescent="0.3">
      <c r="A3" s="23"/>
      <c r="B3" s="23"/>
      <c r="I3" s="2"/>
      <c r="W3" s="1"/>
      <c r="Y3" s="1"/>
    </row>
    <row r="4" spans="1:28" ht="15.6" x14ac:dyDescent="0.3">
      <c r="A4" s="23"/>
      <c r="B4" s="23"/>
      <c r="F4" s="3"/>
      <c r="I4" s="2"/>
      <c r="M4" s="3"/>
      <c r="Y4" s="1"/>
    </row>
    <row r="5" spans="1:28" ht="14.55" customHeight="1" x14ac:dyDescent="0.3">
      <c r="A5" s="23"/>
      <c r="B5" s="23"/>
      <c r="L5" s="32"/>
      <c r="M5" s="33"/>
      <c r="N5" s="33"/>
      <c r="Y5" s="1"/>
    </row>
    <row r="6" spans="1:28" s="4" customFormat="1" ht="21" x14ac:dyDescent="0.4">
      <c r="A6" s="23"/>
      <c r="B6" s="23"/>
      <c r="C6" s="15" t="s">
        <v>8</v>
      </c>
      <c r="D6" s="63" t="str">
        <f>'Print All Summary'!B6</f>
        <v>Avon Riding Centre</v>
      </c>
      <c r="E6" s="63"/>
      <c r="F6" s="14"/>
      <c r="G6" s="22" t="s">
        <v>9</v>
      </c>
      <c r="H6" s="65">
        <f>'Print All Summary'!F6</f>
        <v>46068</v>
      </c>
      <c r="I6" s="65"/>
      <c r="K6" s="66" t="s">
        <v>15</v>
      </c>
      <c r="L6" s="66"/>
      <c r="M6" s="63" t="str">
        <f>'Print All Summary'!B7</f>
        <v>Wessex TREC</v>
      </c>
      <c r="N6" s="63"/>
      <c r="O6" s="63"/>
      <c r="P6" s="63"/>
      <c r="Q6" s="63"/>
      <c r="R6" s="63"/>
      <c r="S6" s="63"/>
      <c r="T6" s="63"/>
      <c r="U6" s="14"/>
      <c r="X6" s="1"/>
      <c r="Y6" s="1"/>
      <c r="Z6" s="1"/>
      <c r="AA6" s="1"/>
    </row>
    <row r="7" spans="1:28" s="4" customFormat="1" ht="30" customHeight="1" x14ac:dyDescent="0.4">
      <c r="A7" s="23"/>
      <c r="B7" s="23"/>
      <c r="C7" s="15" t="s">
        <v>16</v>
      </c>
      <c r="D7" s="64" t="s">
        <v>119</v>
      </c>
      <c r="E7" s="64"/>
      <c r="F7" s="14"/>
      <c r="H7" s="5"/>
      <c r="I7" s="5"/>
      <c r="U7" s="14"/>
      <c r="X7" s="1"/>
      <c r="Y7" s="1"/>
      <c r="Z7" s="1"/>
      <c r="AA7" s="1"/>
    </row>
    <row r="8" spans="1:28" s="4" customFormat="1" ht="21" x14ac:dyDescent="0.4">
      <c r="A8" s="23"/>
      <c r="B8" s="23"/>
      <c r="C8" s="15"/>
      <c r="D8" s="15"/>
      <c r="E8" s="15"/>
      <c r="H8" s="5"/>
      <c r="I8" s="5"/>
      <c r="X8" s="5"/>
      <c r="Z8" s="5"/>
      <c r="AA8" s="5"/>
    </row>
    <row r="9" spans="1:28" ht="15.6" x14ac:dyDescent="0.3">
      <c r="F9" s="16"/>
      <c r="K9" s="16"/>
      <c r="L9" s="16"/>
      <c r="M9" s="16"/>
      <c r="N9" s="16"/>
      <c r="O9" s="16"/>
      <c r="P9" s="16"/>
      <c r="Q9" s="16"/>
    </row>
    <row r="10" spans="1:28" s="34" customFormat="1" ht="122.55" customHeight="1" x14ac:dyDescent="0.25">
      <c r="A10" s="28" t="s">
        <v>18</v>
      </c>
      <c r="B10" s="29" t="s">
        <v>19</v>
      </c>
      <c r="C10" s="19" t="s">
        <v>20</v>
      </c>
      <c r="D10" s="20" t="s">
        <v>21</v>
      </c>
      <c r="E10" s="20" t="s">
        <v>22</v>
      </c>
      <c r="F10" s="20" t="s">
        <v>23</v>
      </c>
      <c r="G10" s="21" t="s">
        <v>24</v>
      </c>
      <c r="H10" s="21" t="s">
        <v>25</v>
      </c>
      <c r="I10" s="21" t="s">
        <v>26</v>
      </c>
      <c r="J10" s="27" t="s">
        <v>45</v>
      </c>
      <c r="K10" s="26" t="s">
        <v>28</v>
      </c>
      <c r="L10" s="26" t="s">
        <v>29</v>
      </c>
      <c r="M10" s="26" t="s">
        <v>30</v>
      </c>
      <c r="N10" s="26" t="s">
        <v>31</v>
      </c>
      <c r="O10" s="26" t="s">
        <v>32</v>
      </c>
      <c r="P10" s="26" t="s">
        <v>33</v>
      </c>
      <c r="Q10" s="26" t="s">
        <v>34</v>
      </c>
      <c r="R10" s="26" t="s">
        <v>35</v>
      </c>
      <c r="S10" s="26" t="s">
        <v>36</v>
      </c>
      <c r="T10" s="26" t="s">
        <v>37</v>
      </c>
      <c r="U10" s="30" t="s">
        <v>56</v>
      </c>
      <c r="V10" s="24" t="s">
        <v>38</v>
      </c>
      <c r="W10" s="24" t="s">
        <v>39</v>
      </c>
      <c r="X10" s="25" t="s">
        <v>40</v>
      </c>
      <c r="Y10" s="24" t="s">
        <v>41</v>
      </c>
      <c r="Z10" s="24" t="s">
        <v>42</v>
      </c>
      <c r="AA10" s="25" t="s">
        <v>43</v>
      </c>
      <c r="AB10" s="39" t="s">
        <v>13</v>
      </c>
    </row>
    <row r="11" spans="1:28" s="35" customFormat="1" x14ac:dyDescent="0.3">
      <c r="A11" s="17"/>
      <c r="B11" s="17"/>
      <c r="C11" s="17" t="s">
        <v>62</v>
      </c>
      <c r="D11" s="17" t="s">
        <v>63</v>
      </c>
      <c r="E11" s="17"/>
      <c r="F11" s="17" t="s">
        <v>64</v>
      </c>
      <c r="G11" s="17">
        <f>IF(H11="E","E",(IF(C11="","",_xlfn.RANK.EQ($H11,$H$11:$H$35)+COUNTIFS($H$11:$H$35,$H11,$J$11:$J$35,"&gt;"&amp;$J11))))</f>
        <v>5</v>
      </c>
      <c r="H11" s="52">
        <f>IF(Table6[[#This Row],[RIDER]]="","",IF((COUNTIF(J11, "E")), "E", (SUM(J11+I11))))</f>
        <v>68</v>
      </c>
      <c r="I11" s="52">
        <f>IF(Table6[[#This Row],[RIDER]]="","",SUM(X11,AA11))</f>
        <v>0</v>
      </c>
      <c r="J11" s="42">
        <f>IF(Table6[[#This Row],[RIDER]]="","",IF(COUNTIF(K11:T11, "E"), "E", (SUM(K11:T11)-U11)))</f>
        <v>68</v>
      </c>
      <c r="K11" s="17">
        <v>10</v>
      </c>
      <c r="L11" s="17">
        <v>0</v>
      </c>
      <c r="M11" s="17">
        <v>7</v>
      </c>
      <c r="N11" s="17">
        <v>10</v>
      </c>
      <c r="O11" s="17">
        <v>10</v>
      </c>
      <c r="P11" s="17">
        <v>8</v>
      </c>
      <c r="Q11" s="17">
        <v>10</v>
      </c>
      <c r="R11" s="17">
        <v>5</v>
      </c>
      <c r="S11" s="17">
        <v>0</v>
      </c>
      <c r="T11" s="17">
        <v>8</v>
      </c>
      <c r="U11" s="17">
        <v>0</v>
      </c>
      <c r="V11" s="17"/>
      <c r="W11" s="17"/>
      <c r="X11" s="18">
        <f>IF(C11="","",IF(OR(Table6[[#This Row],[Outside/Broke (O/B)]]="O",Table6[[#This Row],[Outside/Broke (O/B)]]="B"),0,VLOOKUP((V11/MAlength*150),CanterScore,2,TRUE)))</f>
        <v>0</v>
      </c>
      <c r="Y11" s="17"/>
      <c r="Z11" s="17"/>
      <c r="AA11" s="18">
        <f>IF(C11="","",IF(OR(Table6[[#This Row],[Outside/Broke (O/B)2]]="O",Table6[[#This Row],[Outside/Broke (O/B)2]]="B"),0,IF((Y11/MAlength*150)=0, 0,IF((Y11/MAlength*150)&lt;'MA calc'!$A$4, 15, VLOOKUP((Y11/MAlength*150),WalkScore,2,TRUE)))))</f>
        <v>0</v>
      </c>
      <c r="AB11" s="17"/>
    </row>
    <row r="12" spans="1:28" s="35" customFormat="1" x14ac:dyDescent="0.3">
      <c r="A12" s="17"/>
      <c r="B12" s="17"/>
      <c r="C12" s="17" t="s">
        <v>65</v>
      </c>
      <c r="D12" s="17"/>
      <c r="E12" s="17"/>
      <c r="F12" s="17" t="s">
        <v>66</v>
      </c>
      <c r="G12" s="17">
        <f t="shared" ref="G12:G35" si="0">IF(H12="E","E",(IF(C12="","",_xlfn.RANK.EQ($H12,$H$11:$H$35)+COUNTIFS($H$11:$H$35,$H12,$J$11:$J$35,"&gt;"&amp;$J12))))</f>
        <v>6</v>
      </c>
      <c r="H12" s="52">
        <f>IF(Table6[[#This Row],[RIDER]]="","",IF((COUNTIF(J12, "E")), "E", (SUM(J12+I12))))</f>
        <v>60</v>
      </c>
      <c r="I12" s="52">
        <f>IF(Table6[[#This Row],[RIDER]]="","",SUM(X12,AA12))</f>
        <v>0</v>
      </c>
      <c r="J12" s="42">
        <f>IF(Table6[[#This Row],[RIDER]]="","",IF(COUNTIF(K12:T12, "E"), "E", (SUM(K12:T12)-U12)))</f>
        <v>60</v>
      </c>
      <c r="K12" s="17">
        <v>0</v>
      </c>
      <c r="L12" s="17">
        <v>10</v>
      </c>
      <c r="M12" s="17">
        <v>10</v>
      </c>
      <c r="N12" s="17">
        <v>0</v>
      </c>
      <c r="O12" s="17">
        <v>10</v>
      </c>
      <c r="P12" s="17">
        <v>10</v>
      </c>
      <c r="Q12" s="17">
        <v>0</v>
      </c>
      <c r="R12" s="17">
        <v>0</v>
      </c>
      <c r="S12" s="17">
        <v>10</v>
      </c>
      <c r="T12" s="17">
        <v>10</v>
      </c>
      <c r="U12" s="17">
        <v>0</v>
      </c>
      <c r="V12" s="17"/>
      <c r="W12" s="17"/>
      <c r="X12" s="18">
        <f>IF(C12="","",IF(OR(Table6[[#This Row],[Outside/Broke (O/B)]]="O",Table6[[#This Row],[Outside/Broke (O/B)]]="B"),0,VLOOKUP((V12/MAlength*150),CanterScore,2,TRUE)))</f>
        <v>0</v>
      </c>
      <c r="Y12" s="17"/>
      <c r="Z12" s="17"/>
      <c r="AA12" s="18">
        <f>IF(C12="","",IF(OR(Table6[[#This Row],[Outside/Broke (O/B)2]]="O",Table6[[#This Row],[Outside/Broke (O/B)2]]="B"),0,IF((Y12/MAlength*150)=0, 0,IF((Y12/MAlength*150)&lt;'MA calc'!$A$4, 15, VLOOKUP((Y12/MAlength*150),WalkScore,2,TRUE)))))</f>
        <v>0</v>
      </c>
      <c r="AB12" s="17"/>
    </row>
    <row r="13" spans="1:28" s="35" customFormat="1" x14ac:dyDescent="0.3">
      <c r="A13" s="17"/>
      <c r="B13" s="17"/>
      <c r="C13" s="17" t="s">
        <v>67</v>
      </c>
      <c r="D13" s="17" t="s">
        <v>68</v>
      </c>
      <c r="E13" s="17"/>
      <c r="F13" s="17" t="s">
        <v>69</v>
      </c>
      <c r="G13" s="17">
        <f t="shared" si="0"/>
        <v>4</v>
      </c>
      <c r="H13" s="52">
        <f>IF(Table6[[#This Row],[RIDER]]="","",IF((COUNTIF(J13, "E")), "E", (SUM(J13+I13))))</f>
        <v>70</v>
      </c>
      <c r="I13" s="52">
        <f>IF(Table6[[#This Row],[RIDER]]="","",SUM(X13,AA13))</f>
        <v>0</v>
      </c>
      <c r="J13" s="42">
        <f>IF(Table6[[#This Row],[RIDER]]="","",IF(COUNTIF(K13:T13, "E"), "E", (SUM(K13:T13)-U13)))</f>
        <v>70</v>
      </c>
      <c r="K13" s="17">
        <v>7</v>
      </c>
      <c r="L13" s="17">
        <v>6</v>
      </c>
      <c r="M13" s="17">
        <v>9</v>
      </c>
      <c r="N13" s="17">
        <v>6</v>
      </c>
      <c r="O13" s="17">
        <v>7</v>
      </c>
      <c r="P13" s="17">
        <v>9</v>
      </c>
      <c r="Q13" s="17">
        <v>5</v>
      </c>
      <c r="R13" s="17">
        <v>2</v>
      </c>
      <c r="S13" s="17">
        <v>9</v>
      </c>
      <c r="T13" s="17">
        <v>10</v>
      </c>
      <c r="U13" s="17">
        <v>0</v>
      </c>
      <c r="V13" s="17"/>
      <c r="W13" s="17"/>
      <c r="X13" s="18">
        <f>IF(C13="","",IF(OR(Table6[[#This Row],[Outside/Broke (O/B)]]="O",Table6[[#This Row],[Outside/Broke (O/B)]]="B"),0,VLOOKUP((V13/MAlength*150),CanterScore,2,TRUE)))</f>
        <v>0</v>
      </c>
      <c r="Y13" s="17"/>
      <c r="Z13" s="17"/>
      <c r="AA13" s="18">
        <f>IF(C13="","",IF(OR(Table6[[#This Row],[Outside/Broke (O/B)2]]="O",Table6[[#This Row],[Outside/Broke (O/B)2]]="B"),0,IF((Y13/MAlength*150)=0, 0,IF((Y13/MAlength*150)&lt;'MA calc'!$A$4, 15, VLOOKUP((Y13/MAlength*150),WalkScore,2,TRUE)))))</f>
        <v>0</v>
      </c>
      <c r="AB13" s="17"/>
    </row>
    <row r="14" spans="1:28" s="35" customFormat="1" x14ac:dyDescent="0.3">
      <c r="A14" s="17"/>
      <c r="B14" s="17"/>
      <c r="C14" s="17" t="s">
        <v>70</v>
      </c>
      <c r="D14" s="17" t="s">
        <v>71</v>
      </c>
      <c r="E14" s="17"/>
      <c r="F14" s="17" t="s">
        <v>72</v>
      </c>
      <c r="G14" s="17">
        <f t="shared" si="0"/>
        <v>3</v>
      </c>
      <c r="H14" s="52">
        <f>IF(Table6[[#This Row],[RIDER]]="","",IF((COUNTIF(J14, "E")), "E", (SUM(J14+I14))))</f>
        <v>77</v>
      </c>
      <c r="I14" s="52">
        <f>IF(Table6[[#This Row],[RIDER]]="","",SUM(X14,AA14))</f>
        <v>0</v>
      </c>
      <c r="J14" s="42">
        <f>IF(Table6[[#This Row],[RIDER]]="","",IF(COUNTIF(K14:T14, "E"), "E", (SUM(K14:T14)-U14)))</f>
        <v>77</v>
      </c>
      <c r="K14" s="17">
        <v>10</v>
      </c>
      <c r="L14" s="17">
        <v>9</v>
      </c>
      <c r="M14" s="17">
        <v>9</v>
      </c>
      <c r="N14" s="17">
        <v>9</v>
      </c>
      <c r="O14" s="17">
        <v>7</v>
      </c>
      <c r="P14" s="17">
        <v>10</v>
      </c>
      <c r="Q14" s="17">
        <v>9</v>
      </c>
      <c r="R14" s="17">
        <v>0</v>
      </c>
      <c r="S14" s="17">
        <v>4</v>
      </c>
      <c r="T14" s="17">
        <v>10</v>
      </c>
      <c r="U14" s="17">
        <v>0</v>
      </c>
      <c r="V14" s="17"/>
      <c r="W14" s="17"/>
      <c r="X14" s="18">
        <f>IF(C14="","",IF(OR(Table6[[#This Row],[Outside/Broke (O/B)]]="O",Table6[[#This Row],[Outside/Broke (O/B)]]="B"),0,VLOOKUP((V14/MAlength*150),CanterScore,2,TRUE)))</f>
        <v>0</v>
      </c>
      <c r="Y14" s="17"/>
      <c r="Z14" s="17"/>
      <c r="AA14" s="18">
        <f>IF(C14="","",IF(OR(Table6[[#This Row],[Outside/Broke (O/B)2]]="O",Table6[[#This Row],[Outside/Broke (O/B)2]]="B"),0,IF((Y14/MAlength*150)=0, 0,IF((Y14/MAlength*150)&lt;'MA calc'!$A$4, 15, VLOOKUP((Y14/MAlength*150),WalkScore,2,TRUE)))))</f>
        <v>0</v>
      </c>
      <c r="AB14" s="17"/>
    </row>
    <row r="15" spans="1:28" s="35" customFormat="1" x14ac:dyDescent="0.3">
      <c r="A15" s="17"/>
      <c r="B15" s="17"/>
      <c r="C15" s="17" t="s">
        <v>73</v>
      </c>
      <c r="D15" s="17" t="s">
        <v>74</v>
      </c>
      <c r="E15" s="17"/>
      <c r="F15" s="17" t="s">
        <v>75</v>
      </c>
      <c r="G15" s="17">
        <f t="shared" si="0"/>
        <v>2</v>
      </c>
      <c r="H15" s="52">
        <f>IF(Table6[[#This Row],[RIDER]]="","",IF((COUNTIF(J15, "E")), "E", (SUM(J15+I15))))</f>
        <v>80</v>
      </c>
      <c r="I15" s="52">
        <f>IF(Table6[[#This Row],[RIDER]]="","",SUM(X15,AA15))</f>
        <v>0</v>
      </c>
      <c r="J15" s="42">
        <f>IF(Table6[[#This Row],[RIDER]]="","",IF(COUNTIF(K15:T15, "E"), "E", (SUM(K15:T15)-U15)))</f>
        <v>80</v>
      </c>
      <c r="K15" s="17">
        <v>7</v>
      </c>
      <c r="L15" s="17">
        <v>10</v>
      </c>
      <c r="M15" s="17">
        <v>10</v>
      </c>
      <c r="N15" s="17">
        <v>9</v>
      </c>
      <c r="O15" s="17">
        <v>7</v>
      </c>
      <c r="P15" s="17">
        <v>10</v>
      </c>
      <c r="Q15" s="17">
        <v>8</v>
      </c>
      <c r="R15" s="17">
        <v>4</v>
      </c>
      <c r="S15" s="17">
        <v>9</v>
      </c>
      <c r="T15" s="17">
        <v>6</v>
      </c>
      <c r="U15" s="17">
        <v>0</v>
      </c>
      <c r="V15" s="17"/>
      <c r="W15" s="17"/>
      <c r="X15" s="18">
        <f>IF(C15="","",IF(OR(Table6[[#This Row],[Outside/Broke (O/B)]]="O",Table6[[#This Row],[Outside/Broke (O/B)]]="B"),0,VLOOKUP((V15/MAlength*150),CanterScore,2,TRUE)))</f>
        <v>0</v>
      </c>
      <c r="Y15" s="17"/>
      <c r="Z15" s="17"/>
      <c r="AA15" s="18">
        <f>IF(C15="","",IF(OR(Table6[[#This Row],[Outside/Broke (O/B)2]]="O",Table6[[#This Row],[Outside/Broke (O/B)2]]="B"),0,IF((Y15/MAlength*150)=0, 0,IF((Y15/MAlength*150)&lt;'MA calc'!$A$4, 15, VLOOKUP((Y15/MAlength*150),WalkScore,2,TRUE)))))</f>
        <v>0</v>
      </c>
      <c r="AB15" s="17"/>
    </row>
    <row r="16" spans="1:28" s="35" customFormat="1" x14ac:dyDescent="0.3">
      <c r="A16" s="17"/>
      <c r="B16" s="17"/>
      <c r="C16" s="17" t="s">
        <v>76</v>
      </c>
      <c r="D16" s="17"/>
      <c r="E16" s="17"/>
      <c r="F16" s="17" t="s">
        <v>77</v>
      </c>
      <c r="G16" s="17">
        <f t="shared" si="0"/>
        <v>1</v>
      </c>
      <c r="H16" s="52">
        <f>IF(Table6[[#This Row],[RIDER]]="","",IF((COUNTIF(J16, "E")), "E", (SUM(J16+I16))))</f>
        <v>81</v>
      </c>
      <c r="I16" s="52">
        <f>IF(Table6[[#This Row],[RIDER]]="","",SUM(X16,AA16))</f>
        <v>0</v>
      </c>
      <c r="J16" s="42">
        <f>IF(Table6[[#This Row],[RIDER]]="","",IF(COUNTIF(K16:T16, "E"), "E", (SUM(K16:T16)-U16)))</f>
        <v>81</v>
      </c>
      <c r="K16" s="17">
        <v>7</v>
      </c>
      <c r="L16" s="17">
        <v>10</v>
      </c>
      <c r="M16" s="17">
        <v>9</v>
      </c>
      <c r="N16" s="17">
        <v>8</v>
      </c>
      <c r="O16" s="17">
        <v>7</v>
      </c>
      <c r="P16" s="17">
        <v>10</v>
      </c>
      <c r="Q16" s="17">
        <v>10</v>
      </c>
      <c r="R16" s="17">
        <v>0</v>
      </c>
      <c r="S16" s="17">
        <v>10</v>
      </c>
      <c r="T16" s="17">
        <v>10</v>
      </c>
      <c r="U16" s="17">
        <v>0</v>
      </c>
      <c r="V16" s="17"/>
      <c r="W16" s="17"/>
      <c r="X16" s="18">
        <f>IF(C16="","",IF(OR(Table6[[#This Row],[Outside/Broke (O/B)]]="O",Table6[[#This Row],[Outside/Broke (O/B)]]="B"),0,VLOOKUP((V16/MAlength*150),CanterScore,2,TRUE)))</f>
        <v>0</v>
      </c>
      <c r="Y16" s="17"/>
      <c r="Z16" s="17"/>
      <c r="AA16" s="18">
        <f>IF(C16="","",IF(OR(Table6[[#This Row],[Outside/Broke (O/B)2]]="O",Table6[[#This Row],[Outside/Broke (O/B)2]]="B"),0,IF((Y16/MAlength*150)=0, 0,IF((Y16/MAlength*150)&lt;'MA calc'!$A$4, 15, VLOOKUP((Y16/MAlength*150),WalkScore,2,TRUE)))))</f>
        <v>0</v>
      </c>
      <c r="AB16" s="17"/>
    </row>
    <row r="17" spans="1:28" s="35" customFormat="1" x14ac:dyDescent="0.3">
      <c r="A17" s="17"/>
      <c r="B17" s="17"/>
      <c r="C17" s="17" t="s">
        <v>65</v>
      </c>
      <c r="D17" s="17"/>
      <c r="E17" s="17"/>
      <c r="F17" s="17" t="s">
        <v>78</v>
      </c>
      <c r="G17" s="17">
        <f t="shared" si="0"/>
        <v>7</v>
      </c>
      <c r="H17" s="52">
        <f>IF(Table6[[#This Row],[RIDER]]="","",IF((COUNTIF(J17, "E")), "E", (SUM(J17+I17))))</f>
        <v>54</v>
      </c>
      <c r="I17" s="52">
        <f>IF(Table6[[#This Row],[RIDER]]="","",SUM(X17,AA17))</f>
        <v>0</v>
      </c>
      <c r="J17" s="42">
        <f>IF(Table6[[#This Row],[RIDER]]="","",IF(COUNTIF(K17:T17, "E"), "E", (SUM(K17:T17)-U17)))</f>
        <v>54</v>
      </c>
      <c r="K17" s="17">
        <v>7</v>
      </c>
      <c r="L17" s="17">
        <v>8</v>
      </c>
      <c r="M17" s="17">
        <v>0</v>
      </c>
      <c r="N17" s="17">
        <v>0</v>
      </c>
      <c r="O17" s="17">
        <v>4</v>
      </c>
      <c r="P17" s="17">
        <v>7</v>
      </c>
      <c r="Q17" s="17">
        <v>8</v>
      </c>
      <c r="R17" s="17">
        <v>0</v>
      </c>
      <c r="S17" s="17">
        <v>10</v>
      </c>
      <c r="T17" s="17">
        <v>10</v>
      </c>
      <c r="U17" s="17">
        <v>0</v>
      </c>
      <c r="V17" s="17"/>
      <c r="W17" s="17"/>
      <c r="X17" s="18">
        <f>IF(C17="","",IF(OR(Table6[[#This Row],[Outside/Broke (O/B)]]="O",Table6[[#This Row],[Outside/Broke (O/B)]]="B"),0,VLOOKUP((V17/MAlength*150),CanterScore,2,TRUE)))</f>
        <v>0</v>
      </c>
      <c r="Y17" s="17"/>
      <c r="Z17" s="17"/>
      <c r="AA17" s="18">
        <f>IF(C17="","",IF(OR(Table6[[#This Row],[Outside/Broke (O/B)2]]="O",Table6[[#This Row],[Outside/Broke (O/B)2]]="B"),0,IF((Y17/MAlength*150)=0, 0,IF((Y17/MAlength*150)&lt;'MA calc'!$A$4, 15, VLOOKUP((Y17/MAlength*150),WalkScore,2,TRUE)))))</f>
        <v>0</v>
      </c>
      <c r="AB17" s="17"/>
    </row>
    <row r="18" spans="1:28" s="35" customFormat="1" x14ac:dyDescent="0.3">
      <c r="A18" s="17"/>
      <c r="B18" s="17"/>
      <c r="C18" s="17"/>
      <c r="D18" s="17"/>
      <c r="E18" s="17"/>
      <c r="F18" s="17"/>
      <c r="G18" s="17" t="str">
        <f t="shared" si="0"/>
        <v/>
      </c>
      <c r="H18" s="52" t="str">
        <f>IF(Table6[[#This Row],[RIDER]]="","",IF((COUNTIF(J18, "E")), "E", (SUM(J18+I18))))</f>
        <v/>
      </c>
      <c r="I18" s="52" t="str">
        <f>IF(Table6[[#This Row],[RIDER]]="","",SUM(X18,AA18))</f>
        <v/>
      </c>
      <c r="J18" s="42" t="str">
        <f>IF(Table6[[#This Row],[RIDER]]="","",IF(COUNTIF(K18:T18, "E"), "E", (SUM(K18:T18)-U18)))</f>
        <v/>
      </c>
      <c r="K18" s="17">
        <v>0</v>
      </c>
      <c r="L18" s="17">
        <v>0</v>
      </c>
      <c r="M18" s="17">
        <v>0</v>
      </c>
      <c r="N18" s="17">
        <v>0</v>
      </c>
      <c r="O18" s="17">
        <v>0</v>
      </c>
      <c r="P18" s="17">
        <v>0</v>
      </c>
      <c r="Q18" s="17">
        <v>0</v>
      </c>
      <c r="R18" s="17">
        <v>0</v>
      </c>
      <c r="S18" s="17">
        <v>0</v>
      </c>
      <c r="T18" s="17">
        <v>0</v>
      </c>
      <c r="U18" s="17">
        <v>0</v>
      </c>
      <c r="V18" s="17"/>
      <c r="W18" s="17"/>
      <c r="X18" s="18" t="str">
        <f>IF(C18="","",IF(OR(Table6[[#This Row],[Outside/Broke (O/B)]]="O",Table6[[#This Row],[Outside/Broke (O/B)]]="B"),0,VLOOKUP((V18/MAlength*150),CanterScore,2,TRUE)))</f>
        <v/>
      </c>
      <c r="Y18" s="17"/>
      <c r="Z18" s="17"/>
      <c r="AA18" s="18" t="str">
        <f>IF(C18="","",IF(OR(Table6[[#This Row],[Outside/Broke (O/B)2]]="O",Table6[[#This Row],[Outside/Broke (O/B)2]]="B"),0,IF((Y18/MAlength*150)=0, 0,IF((Y18/MAlength*150)&lt;'MA calc'!$A$4, 15, VLOOKUP((Y18/MAlength*150),WalkScore,2,TRUE)))))</f>
        <v/>
      </c>
      <c r="AB18" s="17"/>
    </row>
    <row r="19" spans="1:28" s="35" customFormat="1" x14ac:dyDescent="0.3">
      <c r="A19" s="17"/>
      <c r="B19" s="17"/>
      <c r="C19" s="17"/>
      <c r="D19" s="17"/>
      <c r="E19" s="17"/>
      <c r="F19" s="17"/>
      <c r="G19" s="17" t="str">
        <f t="shared" si="0"/>
        <v/>
      </c>
      <c r="H19" s="52" t="str">
        <f>IF(Table6[[#This Row],[RIDER]]="","",IF((COUNTIF(J19, "E")), "E", (SUM(J19+I19))))</f>
        <v/>
      </c>
      <c r="I19" s="52" t="str">
        <f>IF(Table6[[#This Row],[RIDER]]="","",SUM(X19,AA19))</f>
        <v/>
      </c>
      <c r="J19" s="42" t="str">
        <f>IF(Table6[[#This Row],[RIDER]]="","",IF(COUNTIF(K19:T19, "E"), "E", (SUM(K19:T19)-U19)))</f>
        <v/>
      </c>
      <c r="K19" s="17">
        <v>0</v>
      </c>
      <c r="L19" s="17">
        <v>0</v>
      </c>
      <c r="M19" s="17">
        <v>0</v>
      </c>
      <c r="N19" s="17">
        <v>0</v>
      </c>
      <c r="O19" s="17">
        <v>0</v>
      </c>
      <c r="P19" s="17">
        <v>0</v>
      </c>
      <c r="Q19" s="17">
        <v>0</v>
      </c>
      <c r="R19" s="17">
        <v>0</v>
      </c>
      <c r="S19" s="17">
        <v>0</v>
      </c>
      <c r="T19" s="17">
        <v>0</v>
      </c>
      <c r="U19" s="17">
        <v>0</v>
      </c>
      <c r="V19" s="17"/>
      <c r="W19" s="17"/>
      <c r="X19" s="18" t="str">
        <f>IF(C19="","",IF(OR(Table6[[#This Row],[Outside/Broke (O/B)]]="O",Table6[[#This Row],[Outside/Broke (O/B)]]="B"),0,VLOOKUP((V19/MAlength*150),CanterScore,2,TRUE)))</f>
        <v/>
      </c>
      <c r="Y19" s="17"/>
      <c r="Z19" s="17"/>
      <c r="AA19" s="18" t="str">
        <f>IF(C19="","",IF(OR(Table6[[#This Row],[Outside/Broke (O/B)2]]="O",Table6[[#This Row],[Outside/Broke (O/B)2]]="B"),0,IF((Y19/MAlength*150)=0, 0,IF((Y19/MAlength*150)&lt;'MA calc'!$A$4, 15, VLOOKUP((Y19/MAlength*150),WalkScore,2,TRUE)))))</f>
        <v/>
      </c>
      <c r="AB19" s="17"/>
    </row>
    <row r="20" spans="1:28" s="35" customFormat="1" x14ac:dyDescent="0.3">
      <c r="A20" s="17"/>
      <c r="B20" s="17"/>
      <c r="C20" s="17"/>
      <c r="D20" s="17"/>
      <c r="E20" s="17"/>
      <c r="F20" s="17"/>
      <c r="G20" s="17" t="str">
        <f t="shared" si="0"/>
        <v/>
      </c>
      <c r="H20" s="52" t="str">
        <f>IF(Table6[[#This Row],[RIDER]]="","",IF((COUNTIF(J20, "E")), "E", (SUM(J20+I20))))</f>
        <v/>
      </c>
      <c r="I20" s="52" t="str">
        <f>IF(Table6[[#This Row],[RIDER]]="","",SUM(X20,AA20))</f>
        <v/>
      </c>
      <c r="J20" s="42" t="str">
        <f>IF(Table6[[#This Row],[RIDER]]="","",IF(COUNTIF(K20:T20, "E"), "E", (SUM(K20:T20)-U20)))</f>
        <v/>
      </c>
      <c r="K20" s="17">
        <v>0</v>
      </c>
      <c r="L20" s="17">
        <v>0</v>
      </c>
      <c r="M20" s="17">
        <v>0</v>
      </c>
      <c r="N20" s="17">
        <v>0</v>
      </c>
      <c r="O20" s="17">
        <v>0</v>
      </c>
      <c r="P20" s="17">
        <v>0</v>
      </c>
      <c r="Q20" s="17">
        <v>0</v>
      </c>
      <c r="R20" s="17">
        <v>0</v>
      </c>
      <c r="S20" s="17">
        <v>0</v>
      </c>
      <c r="T20" s="17">
        <v>0</v>
      </c>
      <c r="U20" s="17">
        <v>0</v>
      </c>
      <c r="V20" s="17"/>
      <c r="W20" s="17"/>
      <c r="X20" s="18" t="str">
        <f>IF(C20="","",IF(OR(Table6[[#This Row],[Outside/Broke (O/B)]]="O",Table6[[#This Row],[Outside/Broke (O/B)]]="B"),0,VLOOKUP((V20/MAlength*150),CanterScore,2,TRUE)))</f>
        <v/>
      </c>
      <c r="Y20" s="17"/>
      <c r="Z20" s="17"/>
      <c r="AA20" s="18" t="str">
        <f>IF(C20="","",IF(OR(Table6[[#This Row],[Outside/Broke (O/B)2]]="O",Table6[[#This Row],[Outside/Broke (O/B)2]]="B"),0,IF((Y20/MAlength*150)=0, 0,IF((Y20/MAlength*150)&lt;'MA calc'!$A$4, 15, VLOOKUP((Y20/MAlength*150),WalkScore,2,TRUE)))))</f>
        <v/>
      </c>
      <c r="AB20" s="17"/>
    </row>
    <row r="21" spans="1:28" s="35" customFormat="1" x14ac:dyDescent="0.3">
      <c r="A21" s="17"/>
      <c r="B21" s="17"/>
      <c r="C21" s="17"/>
      <c r="D21" s="17"/>
      <c r="E21" s="17"/>
      <c r="F21" s="17"/>
      <c r="G21" s="17" t="str">
        <f t="shared" si="0"/>
        <v/>
      </c>
      <c r="H21" s="52" t="str">
        <f>IF(Table6[[#This Row],[RIDER]]="","",IF((COUNTIF(J21, "E")), "E", (SUM(J21+I21))))</f>
        <v/>
      </c>
      <c r="I21" s="52" t="str">
        <f>IF(Table6[[#This Row],[RIDER]]="","",SUM(X21,AA21))</f>
        <v/>
      </c>
      <c r="J21" s="42" t="str">
        <f>IF(Table6[[#This Row],[RIDER]]="","",IF(COUNTIF(K21:T21, "E"), "E", (SUM(K21:T21)-U21)))</f>
        <v/>
      </c>
      <c r="K21" s="17">
        <v>0</v>
      </c>
      <c r="L21" s="17">
        <v>0</v>
      </c>
      <c r="M21" s="17">
        <v>0</v>
      </c>
      <c r="N21" s="17">
        <v>0</v>
      </c>
      <c r="O21" s="17">
        <v>0</v>
      </c>
      <c r="P21" s="17">
        <v>0</v>
      </c>
      <c r="Q21" s="17">
        <v>0</v>
      </c>
      <c r="R21" s="17">
        <v>0</v>
      </c>
      <c r="S21" s="17">
        <v>0</v>
      </c>
      <c r="T21" s="17">
        <v>0</v>
      </c>
      <c r="U21" s="17">
        <v>0</v>
      </c>
      <c r="V21" s="17"/>
      <c r="W21" s="17"/>
      <c r="X21" s="18" t="str">
        <f>IF(C21="","",IF(OR(Table6[[#This Row],[Outside/Broke (O/B)]]="O",Table6[[#This Row],[Outside/Broke (O/B)]]="B"),0,VLOOKUP((V21/MAlength*150),CanterScore,2,TRUE)))</f>
        <v/>
      </c>
      <c r="Y21" s="17"/>
      <c r="Z21" s="17"/>
      <c r="AA21" s="18" t="str">
        <f>IF(C21="","",IF(OR(Table6[[#This Row],[Outside/Broke (O/B)2]]="O",Table6[[#This Row],[Outside/Broke (O/B)2]]="B"),0,IF((Y21/MAlength*150)=0, 0,IF((Y21/MAlength*150)&lt;'MA calc'!$A$4, 15, VLOOKUP((Y21/MAlength*150),WalkScore,2,TRUE)))))</f>
        <v/>
      </c>
      <c r="AB21" s="17"/>
    </row>
    <row r="22" spans="1:28" s="35" customFormat="1" x14ac:dyDescent="0.3">
      <c r="A22" s="17"/>
      <c r="B22" s="17"/>
      <c r="C22" s="17"/>
      <c r="D22" s="17"/>
      <c r="E22" s="17"/>
      <c r="F22" s="17"/>
      <c r="G22" s="17" t="str">
        <f t="shared" si="0"/>
        <v/>
      </c>
      <c r="H22" s="52" t="str">
        <f>IF(Table6[[#This Row],[RIDER]]="","",IF((COUNTIF(J22, "E")), "E", (SUM(J22+I22))))</f>
        <v/>
      </c>
      <c r="I22" s="52" t="str">
        <f>IF(Table6[[#This Row],[RIDER]]="","",SUM(X22,AA22))</f>
        <v/>
      </c>
      <c r="J22" s="42" t="str">
        <f>IF(Table6[[#This Row],[RIDER]]="","",IF(COUNTIF(K22:T22, "E"), "E", (SUM(K22:T22)-U22)))</f>
        <v/>
      </c>
      <c r="K22" s="17">
        <v>0</v>
      </c>
      <c r="L22" s="17">
        <v>0</v>
      </c>
      <c r="M22" s="17">
        <v>0</v>
      </c>
      <c r="N22" s="17">
        <v>0</v>
      </c>
      <c r="O22" s="17">
        <v>0</v>
      </c>
      <c r="P22" s="17">
        <v>0</v>
      </c>
      <c r="Q22" s="17">
        <v>0</v>
      </c>
      <c r="R22" s="17">
        <v>0</v>
      </c>
      <c r="S22" s="17">
        <v>0</v>
      </c>
      <c r="T22" s="17">
        <v>0</v>
      </c>
      <c r="U22" s="17">
        <v>0</v>
      </c>
      <c r="V22" s="17"/>
      <c r="W22" s="17"/>
      <c r="X22" s="18" t="str">
        <f>IF(C22="","",IF(OR(Table6[[#This Row],[Outside/Broke (O/B)]]="O",Table6[[#This Row],[Outside/Broke (O/B)]]="B"),0,VLOOKUP((V22/MAlength*150),CanterScore,2,TRUE)))</f>
        <v/>
      </c>
      <c r="Y22" s="17"/>
      <c r="Z22" s="17"/>
      <c r="AA22" s="18" t="str">
        <f>IF(C22="","",IF(OR(Table6[[#This Row],[Outside/Broke (O/B)2]]="O",Table6[[#This Row],[Outside/Broke (O/B)2]]="B"),0,IF((Y22/MAlength*150)=0, 0,IF((Y22/MAlength*150)&lt;'MA calc'!$A$4, 15, VLOOKUP((Y22/MAlength*150),WalkScore,2,TRUE)))))</f>
        <v/>
      </c>
      <c r="AB22" s="17"/>
    </row>
    <row r="23" spans="1:28" s="35" customFormat="1" x14ac:dyDescent="0.3">
      <c r="A23" s="17"/>
      <c r="B23" s="17"/>
      <c r="C23" s="17"/>
      <c r="D23" s="17"/>
      <c r="E23" s="17"/>
      <c r="F23" s="17"/>
      <c r="G23" s="17" t="str">
        <f t="shared" si="0"/>
        <v/>
      </c>
      <c r="H23" s="52" t="str">
        <f>IF(Table6[[#This Row],[RIDER]]="","",IF((COUNTIF(J23, "E")), "E", (SUM(J23+I23))))</f>
        <v/>
      </c>
      <c r="I23" s="52" t="str">
        <f>IF(Table6[[#This Row],[RIDER]]="","",SUM(X23,AA23))</f>
        <v/>
      </c>
      <c r="J23" s="42" t="str">
        <f>IF(Table6[[#This Row],[RIDER]]="","",IF(COUNTIF(K23:T23, "E"), "E", (SUM(K23:T23)-U23)))</f>
        <v/>
      </c>
      <c r="K23" s="17">
        <v>0</v>
      </c>
      <c r="L23" s="17">
        <v>0</v>
      </c>
      <c r="M23" s="17">
        <v>0</v>
      </c>
      <c r="N23" s="17">
        <v>0</v>
      </c>
      <c r="O23" s="17">
        <v>0</v>
      </c>
      <c r="P23" s="17">
        <v>0</v>
      </c>
      <c r="Q23" s="17">
        <v>0</v>
      </c>
      <c r="R23" s="17">
        <v>0</v>
      </c>
      <c r="S23" s="17">
        <v>0</v>
      </c>
      <c r="T23" s="17">
        <v>0</v>
      </c>
      <c r="U23" s="17">
        <v>0</v>
      </c>
      <c r="V23" s="17"/>
      <c r="W23" s="17"/>
      <c r="X23" s="18" t="str">
        <f>IF(C23="","",IF(OR(Table6[[#This Row],[Outside/Broke (O/B)]]="O",Table6[[#This Row],[Outside/Broke (O/B)]]="B"),0,VLOOKUP((V23/MAlength*150),CanterScore,2,TRUE)))</f>
        <v/>
      </c>
      <c r="Y23" s="17"/>
      <c r="Z23" s="17"/>
      <c r="AA23" s="18" t="str">
        <f>IF(C23="","",IF(OR(Table6[[#This Row],[Outside/Broke (O/B)2]]="O",Table6[[#This Row],[Outside/Broke (O/B)2]]="B"),0,IF((Y23/MAlength*150)=0, 0,IF((Y23/MAlength*150)&lt;'MA calc'!$A$4, 15, VLOOKUP((Y23/MAlength*150),WalkScore,2,TRUE)))))</f>
        <v/>
      </c>
      <c r="AB23" s="17"/>
    </row>
    <row r="24" spans="1:28" s="35" customFormat="1" x14ac:dyDescent="0.3">
      <c r="A24" s="17"/>
      <c r="B24" s="17"/>
      <c r="C24" s="17"/>
      <c r="D24" s="17"/>
      <c r="E24" s="17"/>
      <c r="F24" s="17"/>
      <c r="G24" s="17" t="str">
        <f t="shared" si="0"/>
        <v/>
      </c>
      <c r="H24" s="52" t="str">
        <f>IF(Table6[[#This Row],[RIDER]]="","",IF((COUNTIF(J24, "E")), "E", (SUM(J24+I24))))</f>
        <v/>
      </c>
      <c r="I24" s="52" t="str">
        <f>IF(Table6[[#This Row],[RIDER]]="","",SUM(X24,AA24))</f>
        <v/>
      </c>
      <c r="J24" s="42" t="str">
        <f>IF(Table6[[#This Row],[RIDER]]="","",IF(COUNTIF(K24:T24, "E"), "E", (SUM(K24:T24)-U24)))</f>
        <v/>
      </c>
      <c r="K24" s="17">
        <v>0</v>
      </c>
      <c r="L24" s="17">
        <v>0</v>
      </c>
      <c r="M24" s="17">
        <v>0</v>
      </c>
      <c r="N24" s="17">
        <v>0</v>
      </c>
      <c r="O24" s="17">
        <v>0</v>
      </c>
      <c r="P24" s="17">
        <v>0</v>
      </c>
      <c r="Q24" s="17">
        <v>0</v>
      </c>
      <c r="R24" s="17">
        <v>0</v>
      </c>
      <c r="S24" s="17">
        <v>0</v>
      </c>
      <c r="T24" s="17">
        <v>0</v>
      </c>
      <c r="U24" s="17">
        <v>0</v>
      </c>
      <c r="V24" s="17"/>
      <c r="W24" s="17"/>
      <c r="X24" s="18" t="str">
        <f>IF(C24="","",IF(OR(Table6[[#This Row],[Outside/Broke (O/B)]]="O",Table6[[#This Row],[Outside/Broke (O/B)]]="B"),0,VLOOKUP((V24/MAlength*150),CanterScore,2,TRUE)))</f>
        <v/>
      </c>
      <c r="Y24" s="17"/>
      <c r="Z24" s="17"/>
      <c r="AA24" s="18" t="str">
        <f>IF(C24="","",IF(OR(Table6[[#This Row],[Outside/Broke (O/B)2]]="O",Table6[[#This Row],[Outside/Broke (O/B)2]]="B"),0,IF((Y24/MAlength*150)=0, 0,IF((Y24/MAlength*150)&lt;'MA calc'!$A$4, 15, VLOOKUP((Y24/MAlength*150),WalkScore,2,TRUE)))))</f>
        <v/>
      </c>
      <c r="AB24" s="17"/>
    </row>
    <row r="25" spans="1:28" s="35" customFormat="1" x14ac:dyDescent="0.3">
      <c r="A25" s="17"/>
      <c r="B25" s="17"/>
      <c r="C25" s="17"/>
      <c r="D25" s="17"/>
      <c r="E25" s="17"/>
      <c r="F25" s="17"/>
      <c r="G25" s="17" t="str">
        <f t="shared" si="0"/>
        <v/>
      </c>
      <c r="H25" s="52" t="str">
        <f>IF(Table6[[#This Row],[RIDER]]="","",IF((COUNTIF(J25, "E")), "E", (SUM(J25+I25))))</f>
        <v/>
      </c>
      <c r="I25" s="52" t="str">
        <f>IF(Table6[[#This Row],[RIDER]]="","",SUM(X25,AA25))</f>
        <v/>
      </c>
      <c r="J25" s="42" t="str">
        <f>IF(Table6[[#This Row],[RIDER]]="","",IF(COUNTIF(K25:T25, "E"), "E", (SUM(K25:T25)-U25)))</f>
        <v/>
      </c>
      <c r="K25" s="17">
        <v>0</v>
      </c>
      <c r="L25" s="17">
        <v>0</v>
      </c>
      <c r="M25" s="17">
        <v>0</v>
      </c>
      <c r="N25" s="17">
        <v>0</v>
      </c>
      <c r="O25" s="17">
        <v>0</v>
      </c>
      <c r="P25" s="17">
        <v>0</v>
      </c>
      <c r="Q25" s="17">
        <v>0</v>
      </c>
      <c r="R25" s="17">
        <v>0</v>
      </c>
      <c r="S25" s="17">
        <v>0</v>
      </c>
      <c r="T25" s="17">
        <v>0</v>
      </c>
      <c r="U25" s="17">
        <v>0</v>
      </c>
      <c r="V25" s="17"/>
      <c r="W25" s="17"/>
      <c r="X25" s="18" t="str">
        <f>IF(C25="","",IF(OR(Table6[[#This Row],[Outside/Broke (O/B)]]="O",Table6[[#This Row],[Outside/Broke (O/B)]]="B"),0,VLOOKUP((V25/MAlength*150),CanterScore,2,TRUE)))</f>
        <v/>
      </c>
      <c r="Y25" s="17"/>
      <c r="Z25" s="17"/>
      <c r="AA25" s="18" t="str">
        <f>IF(C25="","",IF(OR(Table6[[#This Row],[Outside/Broke (O/B)2]]="O",Table6[[#This Row],[Outside/Broke (O/B)2]]="B"),0,IF((Y25/MAlength*150)=0, 0,IF((Y25/MAlength*150)&lt;'MA calc'!$A$4, 15, VLOOKUP((Y25/MAlength*150),WalkScore,2,TRUE)))))</f>
        <v/>
      </c>
      <c r="AB25" s="17"/>
    </row>
    <row r="26" spans="1:28" s="35" customFormat="1" x14ac:dyDescent="0.3">
      <c r="A26" s="17"/>
      <c r="B26" s="17"/>
      <c r="C26" s="17"/>
      <c r="D26" s="17"/>
      <c r="E26" s="17"/>
      <c r="F26" s="17"/>
      <c r="G26" s="17" t="str">
        <f t="shared" si="0"/>
        <v/>
      </c>
      <c r="H26" s="52" t="str">
        <f>IF(Table6[[#This Row],[RIDER]]="","",IF((COUNTIF(J26, "E")), "E", (SUM(J26+I26))))</f>
        <v/>
      </c>
      <c r="I26" s="52" t="str">
        <f>IF(Table6[[#This Row],[RIDER]]="","",SUM(X26,AA26))</f>
        <v/>
      </c>
      <c r="J26" s="42" t="str">
        <f>IF(Table6[[#This Row],[RIDER]]="","",IF(COUNTIF(K26:T26, "E"), "E", (SUM(K26:T26)-U26)))</f>
        <v/>
      </c>
      <c r="K26" s="17">
        <v>0</v>
      </c>
      <c r="L26" s="17">
        <v>0</v>
      </c>
      <c r="M26" s="17">
        <v>0</v>
      </c>
      <c r="N26" s="17">
        <v>0</v>
      </c>
      <c r="O26" s="17">
        <v>0</v>
      </c>
      <c r="P26" s="17">
        <v>0</v>
      </c>
      <c r="Q26" s="17">
        <v>0</v>
      </c>
      <c r="R26" s="17">
        <v>0</v>
      </c>
      <c r="S26" s="17">
        <v>0</v>
      </c>
      <c r="T26" s="17">
        <v>0</v>
      </c>
      <c r="U26" s="17">
        <v>0</v>
      </c>
      <c r="V26" s="17"/>
      <c r="W26" s="17"/>
      <c r="X26" s="18" t="str">
        <f>IF(C26="","",IF(OR(Table6[[#This Row],[Outside/Broke (O/B)]]="O",Table6[[#This Row],[Outside/Broke (O/B)]]="B"),0,VLOOKUP((V26/MAlength*150),CanterScore,2,TRUE)))</f>
        <v/>
      </c>
      <c r="Y26" s="17"/>
      <c r="Z26" s="17"/>
      <c r="AA26" s="18" t="str">
        <f>IF(C26="","",IF(OR(Table6[[#This Row],[Outside/Broke (O/B)2]]="O",Table6[[#This Row],[Outside/Broke (O/B)2]]="B"),0,IF((Y26/MAlength*150)=0, 0,IF((Y26/MAlength*150)&lt;'MA calc'!$A$4, 15, VLOOKUP((Y26/MAlength*150),WalkScore,2,TRUE)))))</f>
        <v/>
      </c>
      <c r="AB26" s="17"/>
    </row>
    <row r="27" spans="1:28" s="35" customFormat="1" x14ac:dyDescent="0.3">
      <c r="A27" s="17"/>
      <c r="B27" s="17"/>
      <c r="C27" s="17"/>
      <c r="D27" s="17"/>
      <c r="E27" s="17"/>
      <c r="F27" s="17"/>
      <c r="G27" s="17" t="str">
        <f t="shared" si="0"/>
        <v/>
      </c>
      <c r="H27" s="52" t="str">
        <f>IF(Table6[[#This Row],[RIDER]]="","",IF((COUNTIF(J27, "E")), "E", (SUM(J27+I27))))</f>
        <v/>
      </c>
      <c r="I27" s="52" t="str">
        <f>IF(Table6[[#This Row],[RIDER]]="","",SUM(X27,AA27))</f>
        <v/>
      </c>
      <c r="J27" s="42" t="str">
        <f>IF(Table6[[#This Row],[RIDER]]="","",IF(COUNTIF(K27:T27, "E"), "E", (SUM(K27:T27)-U27)))</f>
        <v/>
      </c>
      <c r="K27" s="17">
        <v>0</v>
      </c>
      <c r="L27" s="17">
        <v>0</v>
      </c>
      <c r="M27" s="17">
        <v>0</v>
      </c>
      <c r="N27" s="17">
        <v>0</v>
      </c>
      <c r="O27" s="17">
        <v>0</v>
      </c>
      <c r="P27" s="17">
        <v>0</v>
      </c>
      <c r="Q27" s="17">
        <v>0</v>
      </c>
      <c r="R27" s="17">
        <v>0</v>
      </c>
      <c r="S27" s="17">
        <v>0</v>
      </c>
      <c r="T27" s="17">
        <v>0</v>
      </c>
      <c r="U27" s="17">
        <v>0</v>
      </c>
      <c r="V27" s="17"/>
      <c r="W27" s="17"/>
      <c r="X27" s="18" t="str">
        <f>IF(C27="","",IF(OR(Table6[[#This Row],[Outside/Broke (O/B)]]="O",Table6[[#This Row],[Outside/Broke (O/B)]]="B"),0,VLOOKUP((V27/MAlength*150),CanterScore,2,TRUE)))</f>
        <v/>
      </c>
      <c r="Y27" s="17"/>
      <c r="Z27" s="17"/>
      <c r="AA27" s="18" t="str">
        <f>IF(C27="","",IF(OR(Table6[[#This Row],[Outside/Broke (O/B)2]]="O",Table6[[#This Row],[Outside/Broke (O/B)2]]="B"),0,IF((Y27/MAlength*150)=0, 0,IF((Y27/MAlength*150)&lt;'MA calc'!$A$4, 15, VLOOKUP((Y27/MAlength*150),WalkScore,2,TRUE)))))</f>
        <v/>
      </c>
      <c r="AB27" s="17"/>
    </row>
    <row r="28" spans="1:28" s="35" customFormat="1" x14ac:dyDescent="0.3">
      <c r="A28" s="17"/>
      <c r="B28" s="17"/>
      <c r="C28" s="17"/>
      <c r="D28" s="17"/>
      <c r="E28" s="17"/>
      <c r="F28" s="17"/>
      <c r="G28" s="17" t="str">
        <f t="shared" si="0"/>
        <v/>
      </c>
      <c r="H28" s="52" t="str">
        <f>IF(Table6[[#This Row],[RIDER]]="","",IF((COUNTIF(J28, "E")), "E", (SUM(J28+I28))))</f>
        <v/>
      </c>
      <c r="I28" s="52" t="str">
        <f>IF(Table6[[#This Row],[RIDER]]="","",SUM(X28,AA28))</f>
        <v/>
      </c>
      <c r="J28" s="42" t="str">
        <f>IF(Table6[[#This Row],[RIDER]]="","",IF(COUNTIF(K28:T28, "E"), "E", (SUM(K28:T28)-U28)))</f>
        <v/>
      </c>
      <c r="K28" s="17">
        <v>0</v>
      </c>
      <c r="L28" s="17">
        <v>0</v>
      </c>
      <c r="M28" s="17">
        <v>0</v>
      </c>
      <c r="N28" s="17">
        <v>0</v>
      </c>
      <c r="O28" s="17">
        <v>0</v>
      </c>
      <c r="P28" s="17">
        <v>0</v>
      </c>
      <c r="Q28" s="17">
        <v>0</v>
      </c>
      <c r="R28" s="17">
        <v>0</v>
      </c>
      <c r="S28" s="17">
        <v>0</v>
      </c>
      <c r="T28" s="17">
        <v>0</v>
      </c>
      <c r="U28" s="17">
        <v>0</v>
      </c>
      <c r="V28" s="17"/>
      <c r="W28" s="17"/>
      <c r="X28" s="18" t="str">
        <f>IF(C28="","",IF(OR(Table6[[#This Row],[Outside/Broke (O/B)]]="O",Table6[[#This Row],[Outside/Broke (O/B)]]="B"),0,VLOOKUP((V28/MAlength*150),CanterScore,2,TRUE)))</f>
        <v/>
      </c>
      <c r="Y28" s="17"/>
      <c r="Z28" s="17"/>
      <c r="AA28" s="18" t="str">
        <f>IF(C28="","",IF(OR(Table6[[#This Row],[Outside/Broke (O/B)2]]="O",Table6[[#This Row],[Outside/Broke (O/B)2]]="B"),0,IF((Y28/MAlength*150)=0, 0,IF((Y28/MAlength*150)&lt;'MA calc'!$A$4, 15, VLOOKUP((Y28/MAlength*150),WalkScore,2,TRUE)))))</f>
        <v/>
      </c>
      <c r="AB28" s="17"/>
    </row>
    <row r="29" spans="1:28" s="35" customFormat="1" x14ac:dyDescent="0.3">
      <c r="A29" s="17"/>
      <c r="B29" s="17"/>
      <c r="C29" s="17"/>
      <c r="D29" s="17"/>
      <c r="E29" s="17"/>
      <c r="F29" s="17"/>
      <c r="G29" s="17" t="str">
        <f t="shared" si="0"/>
        <v/>
      </c>
      <c r="H29" s="52" t="str">
        <f>IF(Table6[[#This Row],[RIDER]]="","",IF((COUNTIF(J29, "E")), "E", (SUM(J29+I29))))</f>
        <v/>
      </c>
      <c r="I29" s="52" t="str">
        <f>IF(Table6[[#This Row],[RIDER]]="","",SUM(X29,AA29))</f>
        <v/>
      </c>
      <c r="J29" s="42" t="str">
        <f>IF(Table6[[#This Row],[RIDER]]="","",IF(COUNTIF(K29:T29, "E"), "E", (SUM(K29:T29)-U29)))</f>
        <v/>
      </c>
      <c r="K29" s="17">
        <v>0</v>
      </c>
      <c r="L29" s="17">
        <v>0</v>
      </c>
      <c r="M29" s="17">
        <v>0</v>
      </c>
      <c r="N29" s="17">
        <v>0</v>
      </c>
      <c r="O29" s="17">
        <v>0</v>
      </c>
      <c r="P29" s="17">
        <v>0</v>
      </c>
      <c r="Q29" s="17">
        <v>0</v>
      </c>
      <c r="R29" s="17">
        <v>0</v>
      </c>
      <c r="S29" s="17">
        <v>0</v>
      </c>
      <c r="T29" s="17">
        <v>0</v>
      </c>
      <c r="U29" s="17">
        <v>0</v>
      </c>
      <c r="V29" s="17"/>
      <c r="W29" s="17"/>
      <c r="X29" s="18" t="str">
        <f>IF(C29="","",IF(OR(Table6[[#This Row],[Outside/Broke (O/B)]]="O",Table6[[#This Row],[Outside/Broke (O/B)]]="B"),0,VLOOKUP((V29/MAlength*150),CanterScore,2,TRUE)))</f>
        <v/>
      </c>
      <c r="Y29" s="17"/>
      <c r="Z29" s="17"/>
      <c r="AA29" s="18" t="str">
        <f>IF(C29="","",IF(OR(Table6[[#This Row],[Outside/Broke (O/B)2]]="O",Table6[[#This Row],[Outside/Broke (O/B)2]]="B"),0,IF((Y29/MAlength*150)=0, 0,IF((Y29/MAlength*150)&lt;'MA calc'!$A$4, 15, VLOOKUP((Y29/MAlength*150),WalkScore,2,TRUE)))))</f>
        <v/>
      </c>
      <c r="AB29" s="17"/>
    </row>
    <row r="30" spans="1:28" s="35" customFormat="1" x14ac:dyDescent="0.3">
      <c r="A30" s="17"/>
      <c r="B30" s="17"/>
      <c r="C30" s="17"/>
      <c r="D30" s="17"/>
      <c r="E30" s="17"/>
      <c r="F30" s="17"/>
      <c r="G30" s="17" t="str">
        <f t="shared" si="0"/>
        <v/>
      </c>
      <c r="H30" s="52" t="str">
        <f>IF(Table6[[#This Row],[RIDER]]="","",IF((COUNTIF(J30, "E")), "E", (SUM(J30+I30))))</f>
        <v/>
      </c>
      <c r="I30" s="52" t="str">
        <f>IF(Table6[[#This Row],[RIDER]]="","",SUM(X30,AA30))</f>
        <v/>
      </c>
      <c r="J30" s="42" t="str">
        <f>IF(Table6[[#This Row],[RIDER]]="","",IF(COUNTIF(K30:T30, "E"), "E", (SUM(K30:T30)-U30)))</f>
        <v/>
      </c>
      <c r="K30" s="17">
        <v>0</v>
      </c>
      <c r="L30" s="17">
        <v>0</v>
      </c>
      <c r="M30" s="17">
        <v>0</v>
      </c>
      <c r="N30" s="17">
        <v>0</v>
      </c>
      <c r="O30" s="17">
        <v>0</v>
      </c>
      <c r="P30" s="17">
        <v>0</v>
      </c>
      <c r="Q30" s="17">
        <v>0</v>
      </c>
      <c r="R30" s="17">
        <v>0</v>
      </c>
      <c r="S30" s="17">
        <v>0</v>
      </c>
      <c r="T30" s="17">
        <v>0</v>
      </c>
      <c r="U30" s="17">
        <v>0</v>
      </c>
      <c r="V30" s="17"/>
      <c r="W30" s="17"/>
      <c r="X30" s="18" t="str">
        <f>IF(C30="","",IF(OR(Table6[[#This Row],[Outside/Broke (O/B)]]="O",Table6[[#This Row],[Outside/Broke (O/B)]]="B"),0,VLOOKUP((V30/MAlength*150),CanterScore,2,TRUE)))</f>
        <v/>
      </c>
      <c r="Y30" s="17"/>
      <c r="Z30" s="17"/>
      <c r="AA30" s="18" t="str">
        <f>IF(C30="","",IF(OR(Table6[[#This Row],[Outside/Broke (O/B)2]]="O",Table6[[#This Row],[Outside/Broke (O/B)2]]="B"),0,IF((Y30/MAlength*150)=0, 0,IF((Y30/MAlength*150)&lt;'MA calc'!$A$4, 15, VLOOKUP((Y30/MAlength*150),WalkScore,2,TRUE)))))</f>
        <v/>
      </c>
      <c r="AB30" s="17"/>
    </row>
    <row r="31" spans="1:28" s="35" customFormat="1" x14ac:dyDescent="0.3">
      <c r="A31" s="17"/>
      <c r="B31" s="17"/>
      <c r="C31" s="17"/>
      <c r="D31" s="17"/>
      <c r="E31" s="17"/>
      <c r="F31" s="17"/>
      <c r="G31" s="17" t="str">
        <f t="shared" si="0"/>
        <v/>
      </c>
      <c r="H31" s="52" t="str">
        <f>IF(Table6[[#This Row],[RIDER]]="","",IF((COUNTIF(J31, "E")), "E", (SUM(J31+I31))))</f>
        <v/>
      </c>
      <c r="I31" s="52" t="str">
        <f>IF(Table6[[#This Row],[RIDER]]="","",SUM(X31,AA31))</f>
        <v/>
      </c>
      <c r="J31" s="42" t="str">
        <f>IF(Table6[[#This Row],[RIDER]]="","",IF(COUNTIF(K31:T31, "E"), "E", (SUM(K31:T31)-U31)))</f>
        <v/>
      </c>
      <c r="K31" s="17">
        <v>0</v>
      </c>
      <c r="L31" s="17">
        <v>0</v>
      </c>
      <c r="M31" s="17">
        <v>0</v>
      </c>
      <c r="N31" s="17">
        <v>0</v>
      </c>
      <c r="O31" s="17">
        <v>0</v>
      </c>
      <c r="P31" s="17">
        <v>0</v>
      </c>
      <c r="Q31" s="17">
        <v>0</v>
      </c>
      <c r="R31" s="17">
        <v>0</v>
      </c>
      <c r="S31" s="17">
        <v>0</v>
      </c>
      <c r="T31" s="17">
        <v>0</v>
      </c>
      <c r="U31" s="17">
        <v>0</v>
      </c>
      <c r="V31" s="17"/>
      <c r="W31" s="17"/>
      <c r="X31" s="18" t="str">
        <f>IF(C31="","",IF(OR(Table6[[#This Row],[Outside/Broke (O/B)]]="O",Table6[[#This Row],[Outside/Broke (O/B)]]="B"),0,VLOOKUP((V31/MAlength*150),CanterScore,2,TRUE)))</f>
        <v/>
      </c>
      <c r="Y31" s="17"/>
      <c r="Z31" s="17"/>
      <c r="AA31" s="18" t="str">
        <f>IF(C31="","",IF(OR(Table6[[#This Row],[Outside/Broke (O/B)2]]="O",Table6[[#This Row],[Outside/Broke (O/B)2]]="B"),0,IF((Y31/MAlength*150)=0, 0,IF((Y31/MAlength*150)&lt;'MA calc'!$A$4, 15, VLOOKUP((Y31/MAlength*150),WalkScore,2,TRUE)))))</f>
        <v/>
      </c>
      <c r="AB31" s="17"/>
    </row>
    <row r="32" spans="1:28" s="35" customFormat="1" x14ac:dyDescent="0.3">
      <c r="A32" s="17"/>
      <c r="B32" s="17"/>
      <c r="C32" s="17"/>
      <c r="D32" s="17"/>
      <c r="E32" s="17"/>
      <c r="F32" s="17"/>
      <c r="G32" s="17" t="str">
        <f t="shared" si="0"/>
        <v/>
      </c>
      <c r="H32" s="52" t="str">
        <f>IF(Table6[[#This Row],[RIDER]]="","",IF((COUNTIF(J32, "E")), "E", (SUM(J32+I32))))</f>
        <v/>
      </c>
      <c r="I32" s="52" t="str">
        <f>IF(Table6[[#This Row],[RIDER]]="","",SUM(X32,AA32))</f>
        <v/>
      </c>
      <c r="J32" s="42" t="str">
        <f>IF(Table6[[#This Row],[RIDER]]="","",IF(COUNTIF(K32:T32, "E"), "E", (SUM(K32:T32)-U32)))</f>
        <v/>
      </c>
      <c r="K32" s="17">
        <v>0</v>
      </c>
      <c r="L32" s="17">
        <v>0</v>
      </c>
      <c r="M32" s="17">
        <v>0</v>
      </c>
      <c r="N32" s="17">
        <v>0</v>
      </c>
      <c r="O32" s="17">
        <v>0</v>
      </c>
      <c r="P32" s="17">
        <v>0</v>
      </c>
      <c r="Q32" s="17">
        <v>0</v>
      </c>
      <c r="R32" s="17">
        <v>0</v>
      </c>
      <c r="S32" s="17">
        <v>0</v>
      </c>
      <c r="T32" s="17">
        <v>0</v>
      </c>
      <c r="U32" s="17">
        <v>0</v>
      </c>
      <c r="V32" s="17"/>
      <c r="W32" s="17"/>
      <c r="X32" s="18" t="str">
        <f>IF(C32="","",IF(OR(Table6[[#This Row],[Outside/Broke (O/B)]]="O",Table6[[#This Row],[Outside/Broke (O/B)]]="B"),0,VLOOKUP((V32/MAlength*150),CanterScore,2,TRUE)))</f>
        <v/>
      </c>
      <c r="Y32" s="17"/>
      <c r="Z32" s="17"/>
      <c r="AA32" s="18" t="str">
        <f>IF(C32="","",IF(OR(Table6[[#This Row],[Outside/Broke (O/B)2]]="O",Table6[[#This Row],[Outside/Broke (O/B)2]]="B"),0,IF((Y32/MAlength*150)=0, 0,IF((Y32/MAlength*150)&lt;'MA calc'!$A$4, 15, VLOOKUP((Y32/MAlength*150),WalkScore,2,TRUE)))))</f>
        <v/>
      </c>
      <c r="AB32" s="17"/>
    </row>
    <row r="33" spans="1:28" s="35" customFormat="1" x14ac:dyDescent="0.3">
      <c r="A33" s="17"/>
      <c r="B33" s="17"/>
      <c r="C33" s="17"/>
      <c r="D33" s="17"/>
      <c r="E33" s="17"/>
      <c r="F33" s="17"/>
      <c r="G33" s="17" t="str">
        <f t="shared" si="0"/>
        <v/>
      </c>
      <c r="H33" s="52" t="str">
        <f>IF(Table6[[#This Row],[RIDER]]="","",IF((COUNTIF(J33, "E")), "E", (SUM(J33+I33))))</f>
        <v/>
      </c>
      <c r="I33" s="52" t="str">
        <f>IF(Table6[[#This Row],[RIDER]]="","",SUM(X33,AA33))</f>
        <v/>
      </c>
      <c r="J33" s="42" t="str">
        <f>IF(Table6[[#This Row],[RIDER]]="","",IF(COUNTIF(K33:T33, "E"), "E", (SUM(K33:T33)-U33)))</f>
        <v/>
      </c>
      <c r="K33" s="17">
        <v>0</v>
      </c>
      <c r="L33" s="17">
        <v>0</v>
      </c>
      <c r="M33" s="17">
        <v>0</v>
      </c>
      <c r="N33" s="17">
        <v>0</v>
      </c>
      <c r="O33" s="17">
        <v>0</v>
      </c>
      <c r="P33" s="17">
        <v>0</v>
      </c>
      <c r="Q33" s="17">
        <v>0</v>
      </c>
      <c r="R33" s="17">
        <v>0</v>
      </c>
      <c r="S33" s="17">
        <v>0</v>
      </c>
      <c r="T33" s="17">
        <v>0</v>
      </c>
      <c r="U33" s="17">
        <v>0</v>
      </c>
      <c r="V33" s="17"/>
      <c r="W33" s="17"/>
      <c r="X33" s="18" t="str">
        <f>IF(C33="","",IF(OR(Table6[[#This Row],[Outside/Broke (O/B)]]="O",Table6[[#This Row],[Outside/Broke (O/B)]]="B"),0,VLOOKUP((V33/MAlength*150),CanterScore,2,TRUE)))</f>
        <v/>
      </c>
      <c r="Y33" s="17"/>
      <c r="Z33" s="17"/>
      <c r="AA33" s="18" t="str">
        <f>IF(C33="","",IF(OR(Table6[[#This Row],[Outside/Broke (O/B)2]]="O",Table6[[#This Row],[Outside/Broke (O/B)2]]="B"),0,IF((Y33/MAlength*150)=0, 0,IF((Y33/MAlength*150)&lt;'MA calc'!$A$4, 15, VLOOKUP((Y33/MAlength*150),WalkScore,2,TRUE)))))</f>
        <v/>
      </c>
      <c r="AB33" s="17"/>
    </row>
    <row r="34" spans="1:28" s="35" customFormat="1" x14ac:dyDescent="0.3">
      <c r="A34" s="17"/>
      <c r="B34" s="17"/>
      <c r="C34" s="17"/>
      <c r="D34" s="17"/>
      <c r="E34" s="17"/>
      <c r="F34" s="17"/>
      <c r="G34" s="17" t="str">
        <f t="shared" si="0"/>
        <v/>
      </c>
      <c r="H34" s="52" t="str">
        <f>IF(Table6[[#This Row],[RIDER]]="","",IF((COUNTIF(J34, "E")), "E", (SUM(J34+I34))))</f>
        <v/>
      </c>
      <c r="I34" s="52" t="str">
        <f>IF(Table6[[#This Row],[RIDER]]="","",SUM(X34,AA34))</f>
        <v/>
      </c>
      <c r="J34" s="42" t="str">
        <f>IF(Table6[[#This Row],[RIDER]]="","",IF(COUNTIF(K34:T34, "E"), "E", (SUM(K34:T34)-U34)))</f>
        <v/>
      </c>
      <c r="K34" s="17">
        <v>0</v>
      </c>
      <c r="L34" s="17">
        <v>0</v>
      </c>
      <c r="M34" s="17">
        <v>0</v>
      </c>
      <c r="N34" s="17">
        <v>0</v>
      </c>
      <c r="O34" s="17">
        <v>0</v>
      </c>
      <c r="P34" s="17">
        <v>0</v>
      </c>
      <c r="Q34" s="17">
        <v>0</v>
      </c>
      <c r="R34" s="17">
        <v>0</v>
      </c>
      <c r="S34" s="17">
        <v>0</v>
      </c>
      <c r="T34" s="17">
        <v>0</v>
      </c>
      <c r="U34" s="17">
        <v>0</v>
      </c>
      <c r="V34" s="17"/>
      <c r="W34" s="17"/>
      <c r="X34" s="18" t="str">
        <f>IF(C34="","",IF(OR(Table6[[#This Row],[Outside/Broke (O/B)]]="O",Table6[[#This Row],[Outside/Broke (O/B)]]="B"),0,VLOOKUP((V34/MAlength*150),CanterScore,2,TRUE)))</f>
        <v/>
      </c>
      <c r="Y34" s="17"/>
      <c r="Z34" s="17"/>
      <c r="AA34" s="18" t="str">
        <f>IF(C34="","",IF(OR(Table6[[#This Row],[Outside/Broke (O/B)2]]="O",Table6[[#This Row],[Outside/Broke (O/B)2]]="B"),0,IF((Y34/MAlength*150)=0, 0,IF((Y34/MAlength*150)&lt;'MA calc'!$A$4, 15, VLOOKUP((Y34/MAlength*150),WalkScore,2,TRUE)))))</f>
        <v/>
      </c>
      <c r="AB34" s="17"/>
    </row>
    <row r="35" spans="1:28" s="35" customFormat="1" x14ac:dyDescent="0.3">
      <c r="A35" s="17"/>
      <c r="B35" s="17"/>
      <c r="C35" s="17"/>
      <c r="D35" s="17"/>
      <c r="E35" s="17"/>
      <c r="F35" s="17"/>
      <c r="G35" s="17" t="str">
        <f t="shared" si="0"/>
        <v/>
      </c>
      <c r="H35" s="52" t="str">
        <f>IF(Table6[[#This Row],[RIDER]]="","",IF((COUNTIF(J35, "E")), "E", (SUM(J35+I35))))</f>
        <v/>
      </c>
      <c r="I35" s="52" t="str">
        <f>IF(Table6[[#This Row],[RIDER]]="","",SUM(X35,AA35))</f>
        <v/>
      </c>
      <c r="J35" s="42" t="str">
        <f>IF(Table6[[#This Row],[RIDER]]="","",IF(COUNTIF(K35:T35, "E"), "E", (SUM(K35:T35)-U35)))</f>
        <v/>
      </c>
      <c r="K35" s="17">
        <v>0</v>
      </c>
      <c r="L35" s="17">
        <v>0</v>
      </c>
      <c r="M35" s="17">
        <v>0</v>
      </c>
      <c r="N35" s="17">
        <v>0</v>
      </c>
      <c r="O35" s="17">
        <v>0</v>
      </c>
      <c r="P35" s="17">
        <v>0</v>
      </c>
      <c r="Q35" s="17">
        <v>0</v>
      </c>
      <c r="R35" s="17">
        <v>0</v>
      </c>
      <c r="S35" s="17">
        <v>0</v>
      </c>
      <c r="T35" s="17">
        <v>0</v>
      </c>
      <c r="U35" s="17">
        <v>0</v>
      </c>
      <c r="V35" s="17"/>
      <c r="W35" s="17"/>
      <c r="X35" s="18" t="str">
        <f>IF(C35="","",IF(OR(Table6[[#This Row],[Outside/Broke (O/B)]]="O",Table6[[#This Row],[Outside/Broke (O/B)]]="B"),0,VLOOKUP((V35/MAlength*150),CanterScore,2,TRUE)))</f>
        <v/>
      </c>
      <c r="Y35" s="17"/>
      <c r="Z35" s="17"/>
      <c r="AA35" s="18" t="str">
        <f>IF(C35="","",IF(OR(Table6[[#This Row],[Outside/Broke (O/B)2]]="O",Table6[[#This Row],[Outside/Broke (O/B)2]]="B"),0,IF((Y35/MAlength*150)=0, 0,IF((Y35/MAlength*150)&lt;'MA calc'!$A$4, 15, VLOOKUP((Y35/MAlength*150),WalkScore,2,TRUE)))))</f>
        <v/>
      </c>
      <c r="AB35" s="17"/>
    </row>
  </sheetData>
  <mergeCells count="5">
    <mergeCell ref="D6:E6"/>
    <mergeCell ref="H6:I6"/>
    <mergeCell ref="K6:L6"/>
    <mergeCell ref="M6:T6"/>
    <mergeCell ref="D7:E7"/>
  </mergeCells>
  <phoneticPr fontId="26" type="noConversion"/>
  <conditionalFormatting sqref="K11:U35">
    <cfRule type="cellIs" dxfId="4" priority="1" operator="greaterThan">
      <formula>10</formula>
    </cfRule>
  </conditionalFormatting>
  <dataValidations count="4">
    <dataValidation type="list" allowBlank="1" showDropDown="1" showErrorMessage="1" errorTitle="Invalid entry" error="Please enter O or B only" sqref="W11:W35 Z11:Z35" xr:uid="{9968CEA5-F41D-4EF3-9F63-0BE0A4B6FE82}">
      <formula1>"B,O"</formula1>
    </dataValidation>
    <dataValidation type="list" allowBlank="1" showDropDown="1" showErrorMessage="1" errorTitle="Invalid entry" error="Please enter Y or N only" sqref="E11:E35" xr:uid="{5733E72A-FEDA-47D6-8F78-70E05A183E84}">
      <formula1>"N,Y"</formula1>
    </dataValidation>
    <dataValidation type="list" operator="lessThanOrEqual" allowBlank="1" showDropDown="1" showInputMessage="1" showErrorMessage="1" errorTitle="Invalid entry" error="The maximum score for each obstacle is 10. _x000a_Please enter a number between -5 and 10, or an E." sqref="U11:U35" xr:uid="{4D044823-5DDF-49E1-AFB3-05AA436E38F0}">
      <formula1>"0,1,2,3,4,5,6,7,8,9,10,E,-1,-2,-3,-4,-5"</formula1>
    </dataValidation>
    <dataValidation type="list" operator="lessThanOrEqual" allowBlank="1" showDropDown="1" showInputMessage="1" showErrorMessage="1" errorTitle="Invalid entry" error="The maximum score for each obstacle is 10. _x000a_Please enter a number between -5 and 20, or an E." sqref="K11:T35" xr:uid="{E3AE2644-6D9A-43C8-9283-96470C3DD430}">
      <formula1>"0,1,2,3,4,5,6,7,8,9,10,11,12,13,14,15,16,17,18,19,20,E,-1,-2,-3,-4,-5"</formula1>
    </dataValidation>
  </dataValidations>
  <printOptions horizontalCentered="1" verticalCentered="1"/>
  <pageMargins left="0.23622047244094491" right="0.23622047244094491" top="0.74803149606299213" bottom="0.74803149606299213" header="0.31496062992125984" footer="0.31496062992125984"/>
  <pageSetup paperSize="9" scale="53" orientation="landscape" r:id="rId1"/>
  <drawing r:id="rId2"/>
  <tableParts count="1">
    <tablePart r:id="rId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14</vt:i4>
      </vt:variant>
      <vt:variant>
        <vt:lpstr>Named Ranges</vt:lpstr>
      </vt:variant>
      <vt:variant>
        <vt:i4>39</vt:i4>
      </vt:variant>
    </vt:vector>
  </HeadingPairs>
  <TitlesOfParts>
    <vt:vector size="53" baseType="lpstr">
      <vt:lpstr>Information &amp; Help</vt:lpstr>
      <vt:lpstr>Print All Summary</vt:lpstr>
      <vt:lpstr>Junior Summary</vt:lpstr>
      <vt:lpstr>Open</vt:lpstr>
      <vt:lpstr>Open Int</vt:lpstr>
      <vt:lpstr>Intermediate</vt:lpstr>
      <vt:lpstr>Novice</vt:lpstr>
      <vt:lpstr>Newcomers</vt:lpstr>
      <vt:lpstr>Inhand</vt:lpstr>
      <vt:lpstr>Starter</vt:lpstr>
      <vt:lpstr>Class 8</vt:lpstr>
      <vt:lpstr>Class 9</vt:lpstr>
      <vt:lpstr>Class 10</vt:lpstr>
      <vt:lpstr>MA calc</vt:lpstr>
      <vt:lpstr>'Junior Summary'!Blank</vt:lpstr>
      <vt:lpstr>Blank</vt:lpstr>
      <vt:lpstr>CanterScore</vt:lpstr>
      <vt:lpstr>'Junior Summary'!Class1</vt:lpstr>
      <vt:lpstr>Class1</vt:lpstr>
      <vt:lpstr>'Junior Summary'!Class10</vt:lpstr>
      <vt:lpstr>Class10</vt:lpstr>
      <vt:lpstr>'Junior Summary'!Class2</vt:lpstr>
      <vt:lpstr>Class2</vt:lpstr>
      <vt:lpstr>'Junior Summary'!Class3</vt:lpstr>
      <vt:lpstr>Class3</vt:lpstr>
      <vt:lpstr>'Junior Summary'!Class4</vt:lpstr>
      <vt:lpstr>Class4</vt:lpstr>
      <vt:lpstr>'Junior Summary'!Class5</vt:lpstr>
      <vt:lpstr>Class5</vt:lpstr>
      <vt:lpstr>'Junior Summary'!Class6</vt:lpstr>
      <vt:lpstr>Class6</vt:lpstr>
      <vt:lpstr>'Junior Summary'!Class7</vt:lpstr>
      <vt:lpstr>Class7</vt:lpstr>
      <vt:lpstr>'Junior Summary'!Class8</vt:lpstr>
      <vt:lpstr>Class8</vt:lpstr>
      <vt:lpstr>'Junior Summary'!Class9</vt:lpstr>
      <vt:lpstr>Class9</vt:lpstr>
      <vt:lpstr>'Junior Summary'!Headers</vt:lpstr>
      <vt:lpstr>Headers</vt:lpstr>
      <vt:lpstr>MAlength</vt:lpstr>
      <vt:lpstr>'Class 10'!Print_Area</vt:lpstr>
      <vt:lpstr>'Class 8'!Print_Area</vt:lpstr>
      <vt:lpstr>'Class 9'!Print_Area</vt:lpstr>
      <vt:lpstr>Inhand!Print_Area</vt:lpstr>
      <vt:lpstr>Intermediate!Print_Area</vt:lpstr>
      <vt:lpstr>'Junior Summary'!Print_Area</vt:lpstr>
      <vt:lpstr>Newcomers!Print_Area</vt:lpstr>
      <vt:lpstr>Novice!Print_Area</vt:lpstr>
      <vt:lpstr>Open!Print_Area</vt:lpstr>
      <vt:lpstr>'Open Int'!Print_Area</vt:lpstr>
      <vt:lpstr>'Print All Summary'!Print_Area</vt:lpstr>
      <vt:lpstr>Starter!Print_Area</vt:lpstr>
      <vt:lpstr>WalkScore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dazza</dc:creator>
  <cp:keywords/>
  <dc:description/>
  <cp:lastModifiedBy>Helen Curley</cp:lastModifiedBy>
  <cp:revision/>
  <dcterms:created xsi:type="dcterms:W3CDTF">2014-09-12T13:25:53Z</dcterms:created>
  <dcterms:modified xsi:type="dcterms:W3CDTF">2026-02-16T11:43:03Z</dcterms:modified>
  <cp:category/>
  <cp:contentStatus/>
</cp:coreProperties>
</file>